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2980" windowHeight="8940" activeTab="1"/>
  </bookViews>
  <sheets>
    <sheet name="Instructions" sheetId="1" r:id="rId1"/>
    <sheet name="Concrete Batching" sheetId="2" r:id="rId2"/>
    <sheet name="PM Emission Factors" sheetId="3" r:id="rId3"/>
    <sheet name="Toxic Emissions" sheetId="4" r:id="rId4"/>
    <sheet name="HARP2 Emissions File" sheetId="5" r:id="rId5"/>
  </sheets>
  <definedNames>
    <definedName name="_xlnm.Print_Area" localSheetId="3">'Toxic Emissions'!$A$1:$M$34</definedName>
  </definedNames>
  <calcPr fullCalcOnLoad="1"/>
</workbook>
</file>

<file path=xl/sharedStrings.xml><?xml version="1.0" encoding="utf-8"?>
<sst xmlns="http://schemas.openxmlformats.org/spreadsheetml/2006/main" count="286" uniqueCount="195">
  <si>
    <r>
      <t>PLANT WIDE EMISSION FACTORS PER YARD OF TRUCK MIX CONCRETE</t>
    </r>
    <r>
      <rPr>
        <vertAlign val="superscript"/>
        <sz val="12"/>
        <rFont val="Times New Roman"/>
        <family val="1"/>
      </rPr>
      <t xml:space="preserve"> a</t>
    </r>
  </si>
  <si>
    <t xml:space="preserve">Uncontrolled </t>
  </si>
  <si>
    <t xml:space="preserve">Controlled </t>
  </si>
  <si>
    <t>PM</t>
  </si>
  <si>
    <r>
      <t>PM</t>
    </r>
    <r>
      <rPr>
        <vertAlign val="subscript"/>
        <sz val="12"/>
        <rFont val="Times New Roman"/>
        <family val="1"/>
      </rPr>
      <t>10</t>
    </r>
  </si>
  <si>
    <t>Activity (Process or Operation)</t>
  </si>
  <si>
    <t>SCC</t>
  </si>
  <si>
    <t>(lb/yd 3)</t>
  </si>
  <si>
    <t>Aggregate delivery to ground storage</t>
  </si>
  <si>
    <t>3-05-011-21</t>
  </si>
  <si>
    <t xml:space="preserve">Sand delivery to ground storage </t>
  </si>
  <si>
    <t>3-05-011-22</t>
  </si>
  <si>
    <t>Aggregate transfer to conveyor</t>
  </si>
  <si>
    <t>3-05-011-23</t>
  </si>
  <si>
    <t>Sand transfer to conveyor</t>
  </si>
  <si>
    <t>3-05-011-24</t>
  </si>
  <si>
    <t>Aggregate transfer to elevated storage</t>
  </si>
  <si>
    <t>3-05-011-04</t>
  </si>
  <si>
    <t xml:space="preserve">Sand transfer to elevated storage </t>
  </si>
  <si>
    <t>3-05-011-05</t>
  </si>
  <si>
    <t xml:space="preserve">Cement delivery to Silo </t>
  </si>
  <si>
    <t xml:space="preserve">3-05-011-07 </t>
  </si>
  <si>
    <t xml:space="preserve">Cement supplement delivery to Silo </t>
  </si>
  <si>
    <t>3-05-011-17</t>
  </si>
  <si>
    <t xml:space="preserve">Weigh hopper loading </t>
  </si>
  <si>
    <t>3-05-011-08</t>
  </si>
  <si>
    <t>Truck mix loading *</t>
  </si>
  <si>
    <t>3-05-011-10</t>
  </si>
  <si>
    <t xml:space="preserve">Total Facility </t>
  </si>
  <si>
    <t>3-05-011-01</t>
  </si>
  <si>
    <r>
      <t>PLANT WIDE EMISSION FACTORS PER YARD OF CENTRAL MIX CONCRETE</t>
    </r>
    <r>
      <rPr>
        <vertAlign val="superscript"/>
        <sz val="12"/>
        <rFont val="Times New Roman"/>
        <family val="1"/>
      </rPr>
      <t xml:space="preserve"> a</t>
    </r>
  </si>
  <si>
    <t>Central mix loading*</t>
  </si>
  <si>
    <t>3-05-011-09</t>
  </si>
  <si>
    <t>Footnote</t>
  </si>
  <si>
    <t>a.</t>
  </si>
  <si>
    <t>Total facility emissions do not include road dust and wind blown dust. Facility emission factors are based upon the following composition of one yard of concrete:</t>
  </si>
  <si>
    <t>Material</t>
  </si>
  <si>
    <t>pounds/yard</t>
  </si>
  <si>
    <t>Coarse Aggregate</t>
  </si>
  <si>
    <t>Sand</t>
  </si>
  <si>
    <t>Cement</t>
  </si>
  <si>
    <t>Cement Supplement</t>
  </si>
  <si>
    <t>Water (gallons)</t>
  </si>
  <si>
    <t>TOTAL</t>
  </si>
  <si>
    <t>*truck mix loading and central mix loading emission factors corrected based on 8/8//11 correction AP-42 6/06, Chapter 11, Equation 11.12-2</t>
  </si>
  <si>
    <t>EMISSION</t>
  </si>
  <si>
    <t>HARP / CEIDARS</t>
  </si>
  <si>
    <t>FORM</t>
  </si>
  <si>
    <t>YEAR</t>
  </si>
  <si>
    <t>CONCRETE BATCH PLANT</t>
  </si>
  <si>
    <t>INSTRUCTIONS</t>
  </si>
  <si>
    <t>INST</t>
  </si>
  <si>
    <t xml:space="preserve">1. </t>
  </si>
  <si>
    <t>This form is to be completed by Owner/Operators of the Concrete Batch Plant.</t>
  </si>
  <si>
    <t xml:space="preserve">2. </t>
  </si>
  <si>
    <t xml:space="preserve">3. </t>
  </si>
  <si>
    <t xml:space="preserve">4. </t>
  </si>
  <si>
    <r>
      <t xml:space="preserve">Aqua </t>
    </r>
    <r>
      <rPr>
        <sz val="14"/>
        <rFont val="Times New Roman"/>
        <family val="1"/>
      </rPr>
      <t>colored fields must be completed along with the 'Certification' in Section "E".</t>
    </r>
  </si>
  <si>
    <t xml:space="preserve">5. </t>
  </si>
  <si>
    <t>Company, Facility and Permit Numbers and most of the information in Section "A" comes from the District permit.</t>
  </si>
  <si>
    <t xml:space="preserve">6. </t>
  </si>
  <si>
    <t>The following information must be completed in Section "C"</t>
  </si>
  <si>
    <t xml:space="preserve">A. </t>
  </si>
  <si>
    <t>Name of firm that manufactured the equipment</t>
  </si>
  <si>
    <t xml:space="preserve">B. </t>
  </si>
  <si>
    <t>Manufacturer's model number</t>
  </si>
  <si>
    <t xml:space="preserve">C. </t>
  </si>
  <si>
    <t>Typical operating schedule of concrete batch plant</t>
  </si>
  <si>
    <t xml:space="preserve">D. </t>
  </si>
  <si>
    <t>Circle type of plant</t>
  </si>
  <si>
    <t xml:space="preserve">E. </t>
  </si>
  <si>
    <t>Yards of concrete produced by the plant in yards per year.</t>
  </si>
  <si>
    <t>1 Yards = 4,024 pounds of mix</t>
  </si>
  <si>
    <t xml:space="preserve">7. </t>
  </si>
  <si>
    <t>Complete Section "E" - Certification.</t>
  </si>
  <si>
    <t xml:space="preserve">8. </t>
  </si>
  <si>
    <t>CBP</t>
  </si>
  <si>
    <t>A.</t>
  </si>
  <si>
    <t>Name of Concrete Batching Facility</t>
  </si>
  <si>
    <t>Name of Person Filling Out Form</t>
  </si>
  <si>
    <t>Name of Owner/Operator</t>
  </si>
  <si>
    <t>Title</t>
  </si>
  <si>
    <t>Location / Physical Address of Plant</t>
  </si>
  <si>
    <t>-</t>
  </si>
  <si>
    <t>City</t>
  </si>
  <si>
    <t>ST.</t>
  </si>
  <si>
    <t>ZIP Code +4</t>
  </si>
  <si>
    <t>(</t>
  </si>
  <si>
    <t>)</t>
  </si>
  <si>
    <t>Telephone Number</t>
  </si>
  <si>
    <t>FAX Number</t>
  </si>
  <si>
    <t>Email Address</t>
  </si>
  <si>
    <t>B.</t>
  </si>
  <si>
    <t>District Permit Number</t>
  </si>
  <si>
    <t>C.</t>
  </si>
  <si>
    <t>Manufacturer of Equipment:</t>
  </si>
  <si>
    <t>Model No.:</t>
  </si>
  <si>
    <t>Typical Hours of Operation of Concrete Batch Plant:</t>
  </si>
  <si>
    <t>hours/day</t>
  </si>
  <si>
    <t>days/week</t>
  </si>
  <si>
    <t>SIC</t>
  </si>
  <si>
    <t>weeks/year</t>
  </si>
  <si>
    <t>NAICS</t>
  </si>
  <si>
    <t>Type of Plant (Circle Type)</t>
  </si>
  <si>
    <t>Truck Mix</t>
  </si>
  <si>
    <t>Central Mix</t>
  </si>
  <si>
    <t>Rated Capacity (Cubic Yards/hour):</t>
  </si>
  <si>
    <t>Pollutant</t>
  </si>
  <si>
    <t>Emissions Factors in pounds per cubic yard</t>
  </si>
  <si>
    <t>Uncontrolled</t>
  </si>
  <si>
    <t>Controlled</t>
  </si>
  <si>
    <t>Particulate Matter</t>
  </si>
  <si>
    <t>Particulate Matter less to 10 microns</t>
  </si>
  <si>
    <t>Annual emissions in tons per year</t>
  </si>
  <si>
    <t>D.</t>
  </si>
  <si>
    <t>E.</t>
  </si>
  <si>
    <t xml:space="preserve">EF (pounds / ton cem) * (ton cem / 2,000 pounds cem) * (564 pounds cem / yd3 concrete) = EF (pounds / yd3 concrete)
Where:
cem is the sum of cement (491 pounds) and cement supplement (73 pounds). </t>
  </si>
  <si>
    <t>Emission Factor Rating</t>
  </si>
  <si>
    <t xml:space="preserve"> w/ Fabric Filter</t>
  </si>
  <si>
    <t>ND</t>
  </si>
  <si>
    <t xml:space="preserve">ND </t>
  </si>
  <si>
    <t>E</t>
  </si>
  <si>
    <t xml:space="preserve">E </t>
  </si>
  <si>
    <t>Cement Silo Filling b                                (SCC 3-05-011-07)</t>
  </si>
  <si>
    <t xml:space="preserve">Central Mix Batching d                             (SCC 3-05-011-09)                                                                   </t>
  </si>
  <si>
    <t xml:space="preserve"> ND</t>
  </si>
  <si>
    <t xml:space="preserve"> E</t>
  </si>
  <si>
    <t>w/ Fabric Filter</t>
  </si>
  <si>
    <t xml:space="preserve">Truck Loading e                           (SCC 3-05-011-10) </t>
  </si>
  <si>
    <t>EMISSIONS</t>
  </si>
  <si>
    <t>Throughput</t>
  </si>
  <si>
    <t>TOTAL EMISSIONS</t>
  </si>
  <si>
    <t xml:space="preserve">
ND</t>
  </si>
  <si>
    <r>
      <rPr>
        <sz val="12"/>
        <rFont val="Calibri"/>
        <family val="2"/>
      </rPr>
      <t>Beryllium</t>
    </r>
  </si>
  <si>
    <r>
      <rPr>
        <sz val="12"/>
        <rFont val="Calibri"/>
        <family val="2"/>
      </rPr>
      <t>Total
Phosphorus</t>
    </r>
  </si>
  <si>
    <r>
      <rPr>
        <sz val="12"/>
        <rFont val="Calibri"/>
        <family val="2"/>
      </rPr>
      <t>Selenium</t>
    </r>
  </si>
  <si>
    <t>lb</t>
  </si>
  <si>
    <t>emissions of PM and PM10 in tons per year.</t>
  </si>
  <si>
    <t>NOTES</t>
  </si>
  <si>
    <t>EMS</t>
  </si>
  <si>
    <t>DEV</t>
  </si>
  <si>
    <t>Pol_Name</t>
  </si>
  <si>
    <t>POL</t>
  </si>
  <si>
    <t>ProcessRate</t>
  </si>
  <si>
    <t>PROID</t>
  </si>
  <si>
    <t>Year</t>
  </si>
  <si>
    <t>Arsenic</t>
  </si>
  <si>
    <t>Cadmium</t>
  </si>
  <si>
    <t xml:space="preserve">Chromium hexavalent </t>
  </si>
  <si>
    <t>Lead</t>
  </si>
  <si>
    <t>Manganese</t>
  </si>
  <si>
    <t>Nickel</t>
  </si>
  <si>
    <t>HRMAXEMS</t>
  </si>
  <si>
    <t>lb/cu yd batched</t>
  </si>
  <si>
    <t>Air Pollution Control</t>
  </si>
  <si>
    <t>Cement Supplement Silo Filling c                                                         (SCC 3-05-011-17)</t>
  </si>
  <si>
    <t>Facility Contact</t>
  </si>
  <si>
    <t>Air toxic emissions calculated using EPA AP 42 table 11.12-7 extrapolated to cu yds based on equation 11.12-2.</t>
  </si>
  <si>
    <t>Annual Cubic Yards of Concrete Produced</t>
  </si>
  <si>
    <t>F.</t>
  </si>
  <si>
    <t>Also complete forms "Location of Facility" (LOC) and "Distance to Receptor" (DIS).</t>
  </si>
  <si>
    <t>Loadout Dust Collector</t>
  </si>
  <si>
    <t xml:space="preserve"> CBP-052416</t>
  </si>
  <si>
    <t>When returning Hardcopy to District please include printout of Concrete Batching Form and Toxic Emission Factors Worksheet.</t>
  </si>
  <si>
    <t>Complete one form "CBP" for each Concrete Batch Plant that this Company operated within the District during the emission year.</t>
  </si>
  <si>
    <t>This form has 1 worksheet entitled "CBP" that needs to be completed.</t>
  </si>
  <si>
    <t>Indicate if dust collector is installed at loadout station</t>
  </si>
  <si>
    <t xml:space="preserve">The excel spreadsheet will calculate the annual </t>
  </si>
  <si>
    <t>HARP/CEIDARS2.5</t>
  </si>
  <si>
    <t>HARP/CEIDARS 2.5</t>
  </si>
  <si>
    <t>Emission</t>
  </si>
  <si>
    <t>Toxic Air Contaminants Review</t>
  </si>
  <si>
    <t>indicate with "X" if dust collector installed at this facility.</t>
  </si>
  <si>
    <t>EMISSION YEAR</t>
  </si>
  <si>
    <t>CBP-TOXICS</t>
  </si>
  <si>
    <t>COMPANY NO</t>
  </si>
  <si>
    <t>FACILITY NO</t>
  </si>
  <si>
    <t>COMPANY NO.</t>
  </si>
  <si>
    <t xml:space="preserve">FACILITY NO. </t>
  </si>
  <si>
    <t>a All emission factors are in lb of pollutant per cubic yard batched. Loaded material includes course aggregate, sand, cement, cement supplement and the surface moisture associated with these materials. The average material composition of concrete batches presented in references 9 and 10 was 1865 lbs course aggregate, 1428 lbs sand, 491 lbs cement and 73 lbs cement supplement. Approximately 20 gallons of water was added to this solid material to produce 4024 lbs (one cubic yard) of concrete.  Emission Factor Unit, derived from AP42 Table 11.12-8</t>
  </si>
  <si>
    <t>d Reference 9. The emission factor units are lb of pollutant per ton of cement and cement supplement. Emission factors were developed from a typical central mix operation. The average estimate of the percent of emissions captured during each test run is 94%.</t>
  </si>
  <si>
    <t>e Reference 9 and 10. The emission factor units are lb of pollutant per ton of cement and cement supplement. Emission factors were developed from two typical truck mix loading operations. Based upon visual observations of every loading operation during the two test programs, the average capture efficiency during the testing was 71%.</t>
  </si>
  <si>
    <r>
      <rPr>
        <b/>
        <sz val="10"/>
        <rFont val="Times New Roman"/>
        <family val="1"/>
      </rPr>
      <t>Arsenic</t>
    </r>
  </si>
  <si>
    <r>
      <rPr>
        <b/>
        <sz val="10"/>
        <rFont val="Times New Roman"/>
        <family val="1"/>
      </rPr>
      <t>Beryllium</t>
    </r>
  </si>
  <si>
    <r>
      <rPr>
        <b/>
        <sz val="10"/>
        <rFont val="Times New Roman"/>
        <family val="1"/>
      </rPr>
      <t>Cadmium</t>
    </r>
  </si>
  <si>
    <r>
      <rPr>
        <b/>
        <sz val="10"/>
        <rFont val="Times New Roman"/>
        <family val="1"/>
      </rPr>
      <t>Total
Chromium</t>
    </r>
  </si>
  <si>
    <r>
      <rPr>
        <b/>
        <sz val="10"/>
        <rFont val="Times New Roman"/>
        <family val="1"/>
      </rPr>
      <t>Lead</t>
    </r>
  </si>
  <si>
    <r>
      <rPr>
        <b/>
        <sz val="10"/>
        <rFont val="Times New Roman"/>
        <family val="1"/>
      </rPr>
      <t>Manganese</t>
    </r>
  </si>
  <si>
    <r>
      <rPr>
        <b/>
        <sz val="10"/>
        <rFont val="Times New Roman"/>
        <family val="1"/>
      </rPr>
      <t>Nickel</t>
    </r>
  </si>
  <si>
    <r>
      <rPr>
        <b/>
        <sz val="10"/>
        <rFont val="Times New Roman"/>
        <family val="1"/>
      </rPr>
      <t>Total
Phosphorus</t>
    </r>
  </si>
  <si>
    <r>
      <rPr>
        <b/>
        <sz val="10"/>
        <rFont val="Times New Roman"/>
        <family val="1"/>
      </rPr>
      <t>Selenium</t>
    </r>
  </si>
  <si>
    <r>
      <rPr>
        <sz val="10"/>
        <rFont val="Times New Roman"/>
        <family val="1"/>
      </rPr>
      <t>ND=No data</t>
    </r>
  </si>
  <si>
    <r>
      <rPr>
        <sz val="10"/>
        <rFont val="Times New Roman"/>
        <family val="1"/>
      </rPr>
      <t>b The uncontrolled emission factors were developed from Reference 9. The controlled emission factors were developed form Reference 9 and 10.</t>
    </r>
  </si>
  <si>
    <r>
      <rPr>
        <sz val="10"/>
        <rFont val="Times New Roman"/>
        <family val="1"/>
      </rPr>
      <t>Although controlled emissions of phosphorous compounds were below detection, it is reasonable to assume that the effectiveness is comparable to the average effectiveness (98%) for the other metals.</t>
    </r>
  </si>
  <si>
    <r>
      <rPr>
        <sz val="10"/>
        <rFont val="Times New Roman"/>
        <family val="1"/>
      </rPr>
      <t>c Reference 10.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</si>
</sst>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
    <numFmt numFmtId="166" formatCode="0.0000"/>
    <numFmt numFmtId="167" formatCode="0.00000"/>
    <numFmt numFmtId="168" formatCode="0.000000"/>
    <numFmt numFmtId="169" formatCode="0.0"/>
  </numFmts>
  <fonts count="72">
    <font>
      <sz val="11"/>
      <color theme="1"/>
      <name val="Calibri"/>
      <family val="2"/>
    </font>
    <font>
      <sz val="11"/>
      <color indexed="8"/>
      <name val="Calibri"/>
      <family val="2"/>
    </font>
    <font>
      <sz val="12"/>
      <name val="Helv"/>
      <family val="0"/>
    </font>
    <font>
      <sz val="12"/>
      <name val="Times New Roman"/>
      <family val="1"/>
    </font>
    <font>
      <sz val="14"/>
      <name val="Times New Roman"/>
      <family val="1"/>
    </font>
    <font>
      <sz val="10"/>
      <name val="Times New Roman"/>
      <family val="1"/>
    </font>
    <font>
      <sz val="8"/>
      <name val="Times New Roman"/>
      <family val="1"/>
    </font>
    <font>
      <sz val="16"/>
      <name val="Times New Roman"/>
      <family val="1"/>
    </font>
    <font>
      <b/>
      <sz val="28"/>
      <name val="Times New Roman"/>
      <family val="1"/>
    </font>
    <font>
      <sz val="20"/>
      <name val="Times New Roman"/>
      <family val="1"/>
    </font>
    <font>
      <sz val="13"/>
      <name val="Times New Roman"/>
      <family val="1"/>
    </font>
    <font>
      <sz val="13"/>
      <name val="Helv"/>
      <family val="0"/>
    </font>
    <font>
      <sz val="10"/>
      <name val="Helv"/>
      <family val="0"/>
    </font>
    <font>
      <b/>
      <sz val="12"/>
      <name val="Times New Roman"/>
      <family val="1"/>
    </font>
    <font>
      <sz val="16"/>
      <name val="Helv"/>
      <family val="0"/>
    </font>
    <font>
      <b/>
      <sz val="16"/>
      <name val="Times New Roman"/>
      <family val="1"/>
    </font>
    <font>
      <sz val="14"/>
      <name val="Helv"/>
      <family val="0"/>
    </font>
    <font>
      <vertAlign val="superscript"/>
      <sz val="12"/>
      <name val="Times New Roman"/>
      <family val="1"/>
    </font>
    <font>
      <vertAlign val="subscript"/>
      <sz val="12"/>
      <name val="Times New Roman"/>
      <family val="1"/>
    </font>
    <font>
      <b/>
      <sz val="20"/>
      <name val="Times New Roman"/>
      <family val="1"/>
    </font>
    <font>
      <sz val="14"/>
      <color indexed="15"/>
      <name val="Times New Roman"/>
      <family val="1"/>
    </font>
    <font>
      <sz val="12"/>
      <name val="Calibri"/>
      <family val="2"/>
    </font>
    <font>
      <b/>
      <sz val="10"/>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Times New Roman"/>
      <family val="1"/>
    </font>
    <font>
      <u val="single"/>
      <sz val="11"/>
      <color indexed="20"/>
      <name val="Calibri"/>
      <family val="2"/>
    </font>
    <font>
      <sz val="10"/>
      <color indexed="8"/>
      <name val="Times New Roman"/>
      <family val="1"/>
    </font>
    <font>
      <b/>
      <sz val="10"/>
      <color indexed="8"/>
      <name val="Times New Roman"/>
      <family val="1"/>
    </font>
    <font>
      <b/>
      <sz val="10"/>
      <color indexed="52"/>
      <name val="Times New Roman"/>
      <family val="1"/>
    </font>
    <font>
      <b/>
      <sz val="10"/>
      <color indexed="17"/>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Times New Roman"/>
      <family val="1"/>
    </font>
    <font>
      <b/>
      <sz val="10"/>
      <color theme="1"/>
      <name val="Times New Roman"/>
      <family val="1"/>
    </font>
    <font>
      <b/>
      <sz val="10"/>
      <color rgb="FFFA7D00"/>
      <name val="Times New Roman"/>
      <family val="1"/>
    </font>
    <font>
      <b/>
      <sz val="10"/>
      <color rgb="FF006100"/>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7BF1F1"/>
        <bgColor indexed="64"/>
      </patternFill>
    </fill>
    <fill>
      <patternFill patternType="solid">
        <fgColor rgb="FFFFFFFF"/>
        <bgColor indexed="64"/>
      </patternFill>
    </fill>
    <fill>
      <patternFill patternType="solid">
        <fgColor indexed="41"/>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bottom style="medium"/>
    </border>
    <border>
      <left style="thin"/>
      <right style="medium"/>
      <top style="medium"/>
      <bottom style="thin"/>
    </border>
    <border>
      <left style="thin"/>
      <right style="medium"/>
      <top style="thin"/>
      <bottom style="thin"/>
    </border>
    <border>
      <left style="thin"/>
      <right style="medium"/>
      <top style="thin"/>
      <bottom style="double"/>
    </border>
    <border>
      <left style="thin"/>
      <right style="thin"/>
      <top style="thin"/>
      <bottom style="thin"/>
    </border>
    <border>
      <left/>
      <right style="medium"/>
      <top/>
      <bottom/>
    </border>
    <border>
      <left style="medium"/>
      <right style="medium"/>
      <top style="medium"/>
      <bottom/>
    </border>
    <border>
      <left style="medium"/>
      <right style="medium"/>
      <top/>
      <bottom/>
    </border>
    <border>
      <left style="medium"/>
      <right style="medium"/>
      <top/>
      <bottom style="medium"/>
    </border>
    <border>
      <left style="medium"/>
      <right/>
      <top/>
      <bottom/>
    </border>
    <border>
      <left/>
      <right style="thin">
        <color indexed="8"/>
      </right>
      <top/>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top style="thin">
        <color indexed="8"/>
      </top>
      <bottom/>
    </border>
    <border>
      <left/>
      <right style="thin">
        <color indexed="8"/>
      </right>
      <top style="thin">
        <color indexed="8"/>
      </top>
      <bottom/>
    </border>
    <border>
      <left/>
      <right style="medium">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border>
    <border>
      <left style="thin">
        <color indexed="8"/>
      </left>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bottom style="thin"/>
    </border>
    <border>
      <left style="thin"/>
      <right/>
      <top/>
      <bottom/>
    </border>
    <border>
      <left/>
      <right style="thin"/>
      <top/>
      <bottom/>
    </border>
    <border>
      <left/>
      <right/>
      <top/>
      <bottom style="double"/>
    </border>
    <border>
      <left style="thin"/>
      <right/>
      <top/>
      <bottom style="double"/>
    </border>
    <border>
      <left/>
      <right style="thin"/>
      <top/>
      <bottom style="double"/>
    </border>
    <border>
      <left style="thin">
        <color indexed="8"/>
      </left>
      <right/>
      <top/>
      <bottom style="double"/>
    </border>
    <border>
      <left/>
      <right style="thin">
        <color indexed="8"/>
      </right>
      <top/>
      <bottom style="double"/>
    </border>
    <border>
      <left style="thin">
        <color indexed="8"/>
      </left>
      <right/>
      <top/>
      <bottom style="double">
        <color indexed="8"/>
      </bottom>
    </border>
    <border>
      <left/>
      <right/>
      <top/>
      <bottom style="double">
        <color indexed="8"/>
      </bottom>
    </border>
    <border>
      <left/>
      <right style="thin">
        <color indexed="8"/>
      </right>
      <top/>
      <bottom style="double">
        <color indexed="8"/>
      </bottom>
    </border>
    <border>
      <left/>
      <right style="thin"/>
      <top style="thin">
        <color indexed="8"/>
      </top>
      <bottom/>
    </border>
    <border>
      <left/>
      <right/>
      <top style="thin"/>
      <bottom/>
    </border>
    <border>
      <left style="thin"/>
      <right/>
      <top style="thin"/>
      <bottom/>
    </border>
    <border>
      <left/>
      <right style="thin"/>
      <top style="thin"/>
      <bottom/>
    </border>
    <border>
      <left/>
      <right style="thin"/>
      <top/>
      <bottom style="thin"/>
    </border>
    <border>
      <left style="thin"/>
      <right/>
      <top/>
      <bottom style="thin"/>
    </border>
    <border>
      <left style="thin"/>
      <right/>
      <top style="double"/>
      <bottom/>
    </border>
    <border>
      <left/>
      <right/>
      <top style="double"/>
      <bottom/>
    </border>
    <border>
      <left/>
      <right style="thin"/>
      <top style="double"/>
      <bottom/>
    </border>
    <border>
      <left/>
      <right style="thin">
        <color indexed="8"/>
      </right>
      <top/>
      <bottom style="thin"/>
    </border>
    <border>
      <left style="thin">
        <color rgb="FF7F7F7F"/>
      </left>
      <right style="thin">
        <color rgb="FF7F7F7F"/>
      </right>
      <top style="thin">
        <color rgb="FF7F7F7F"/>
      </top>
      <bottom/>
    </border>
    <border>
      <left style="thin"/>
      <right style="thin"/>
      <top style="thin"/>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164"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36">
    <xf numFmtId="0" fontId="0" fillId="0" borderId="0" xfId="0" applyFont="1" applyAlignment="1">
      <alignment/>
    </xf>
    <xf numFmtId="164" fontId="2" fillId="0" borderId="0" xfId="57">
      <alignment/>
      <protection/>
    </xf>
    <xf numFmtId="164" fontId="3" fillId="0" borderId="0" xfId="57" applyFont="1" applyBorder="1">
      <alignment/>
      <protection/>
    </xf>
    <xf numFmtId="164" fontId="3" fillId="0" borderId="0" xfId="57" applyFont="1" applyBorder="1" applyAlignment="1">
      <alignment horizontal="center"/>
      <protection/>
    </xf>
    <xf numFmtId="164" fontId="3" fillId="0" borderId="0" xfId="57" applyFont="1" applyFill="1" applyBorder="1">
      <alignment/>
      <protection/>
    </xf>
    <xf numFmtId="166" fontId="3" fillId="0" borderId="0" xfId="57" applyNumberFormat="1" applyFont="1" applyBorder="1" applyAlignment="1">
      <alignment horizontal="center"/>
      <protection/>
    </xf>
    <xf numFmtId="164" fontId="3" fillId="0" borderId="0" xfId="57" applyFont="1" applyFill="1" applyBorder="1" applyAlignment="1">
      <alignment horizontal="right" vertical="top"/>
      <protection/>
    </xf>
    <xf numFmtId="164" fontId="3" fillId="0" borderId="10" xfId="57" applyFont="1" applyBorder="1" applyAlignment="1">
      <alignment horizontal="center"/>
      <protection/>
    </xf>
    <xf numFmtId="164" fontId="3" fillId="0" borderId="11" xfId="57" applyFont="1" applyBorder="1" applyAlignment="1">
      <alignment horizontal="center"/>
      <protection/>
    </xf>
    <xf numFmtId="164" fontId="3" fillId="0" borderId="12" xfId="57" applyFont="1" applyBorder="1" applyAlignment="1">
      <alignment horizontal="center"/>
      <protection/>
    </xf>
    <xf numFmtId="164" fontId="3" fillId="0" borderId="12" xfId="57" applyFont="1" applyFill="1" applyBorder="1" applyAlignment="1">
      <alignment horizontal="center"/>
      <protection/>
    </xf>
    <xf numFmtId="164" fontId="3" fillId="0" borderId="13" xfId="57" applyFont="1" applyFill="1" applyBorder="1" applyAlignment="1">
      <alignment horizontal="center"/>
      <protection/>
    </xf>
    <xf numFmtId="164" fontId="3" fillId="0" borderId="14" xfId="57" applyFont="1" applyBorder="1" applyAlignment="1">
      <alignment horizontal="center"/>
      <protection/>
    </xf>
    <xf numFmtId="164" fontId="3" fillId="0" borderId="14" xfId="57" applyFont="1" applyBorder="1">
      <alignment/>
      <protection/>
    </xf>
    <xf numFmtId="166" fontId="3" fillId="0" borderId="14" xfId="57" applyNumberFormat="1" applyFont="1" applyBorder="1" applyAlignment="1">
      <alignment horizontal="center"/>
      <protection/>
    </xf>
    <xf numFmtId="164" fontId="3" fillId="33" borderId="14" xfId="57" applyFont="1" applyFill="1" applyBorder="1">
      <alignment/>
      <protection/>
    </xf>
    <xf numFmtId="166" fontId="3" fillId="33" borderId="14" xfId="57" applyNumberFormat="1" applyFont="1" applyFill="1" applyBorder="1" applyAlignment="1">
      <alignment horizontal="center"/>
      <protection/>
    </xf>
    <xf numFmtId="164" fontId="12" fillId="0" borderId="0" xfId="57" applyFont="1" applyBorder="1">
      <alignment/>
      <protection/>
    </xf>
    <xf numFmtId="164" fontId="12" fillId="0" borderId="0" xfId="57" applyFont="1" applyBorder="1" applyAlignment="1">
      <alignment horizontal="center"/>
      <protection/>
    </xf>
    <xf numFmtId="164" fontId="5" fillId="0" borderId="0" xfId="57" applyFont="1" applyBorder="1">
      <alignment/>
      <protection/>
    </xf>
    <xf numFmtId="164" fontId="2" fillId="0" borderId="0" xfId="57" applyBorder="1">
      <alignment/>
      <protection/>
    </xf>
    <xf numFmtId="164" fontId="4" fillId="0" borderId="0" xfId="57" applyFont="1" applyBorder="1">
      <alignment/>
      <protection/>
    </xf>
    <xf numFmtId="164" fontId="4" fillId="0" borderId="0" xfId="57" applyFont="1">
      <alignment/>
      <protection/>
    </xf>
    <xf numFmtId="164" fontId="2" fillId="0" borderId="15" xfId="57" applyBorder="1">
      <alignment/>
      <protection/>
    </xf>
    <xf numFmtId="164" fontId="7" fillId="0" borderId="16" xfId="57" applyNumberFormat="1" applyFont="1" applyBorder="1" applyAlignment="1" applyProtection="1">
      <alignment horizontal="center"/>
      <protection/>
    </xf>
    <xf numFmtId="164" fontId="7" fillId="0" borderId="17" xfId="57" applyNumberFormat="1" applyFont="1" applyBorder="1" applyAlignment="1" applyProtection="1">
      <alignment horizontal="center"/>
      <protection/>
    </xf>
    <xf numFmtId="164" fontId="5" fillId="0" borderId="17" xfId="57" applyNumberFormat="1" applyFont="1" applyBorder="1" applyAlignment="1" applyProtection="1">
      <alignment horizontal="center"/>
      <protection/>
    </xf>
    <xf numFmtId="164" fontId="19" fillId="0" borderId="18" xfId="57" applyNumberFormat="1" applyFont="1" applyFill="1" applyBorder="1" applyAlignment="1" applyProtection="1">
      <alignment horizontal="center"/>
      <protection/>
    </xf>
    <xf numFmtId="164" fontId="4" fillId="0" borderId="0" xfId="57" applyFont="1" applyAlignment="1">
      <alignment horizontal="left" vertical="top" wrapText="1"/>
      <protection/>
    </xf>
    <xf numFmtId="164" fontId="4" fillId="0" borderId="0" xfId="57" applyFont="1" applyAlignment="1">
      <alignment horizontal="left"/>
      <protection/>
    </xf>
    <xf numFmtId="164" fontId="2" fillId="0" borderId="19" xfId="57" applyBorder="1" applyAlignment="1">
      <alignment vertical="top"/>
      <protection/>
    </xf>
    <xf numFmtId="164" fontId="4" fillId="0" borderId="19" xfId="57" applyFont="1" applyBorder="1" applyAlignment="1" quotePrefix="1">
      <alignment horizontal="right" vertical="top"/>
      <protection/>
    </xf>
    <xf numFmtId="164" fontId="4" fillId="0" borderId="0" xfId="57" applyFont="1" applyBorder="1" applyAlignment="1">
      <alignment horizontal="left" vertical="top" wrapText="1"/>
      <protection/>
    </xf>
    <xf numFmtId="164" fontId="4" fillId="0" borderId="15" xfId="57" applyFont="1" applyBorder="1" applyAlignment="1">
      <alignment horizontal="left" vertical="top" wrapText="1"/>
      <protection/>
    </xf>
    <xf numFmtId="164" fontId="4" fillId="0" borderId="19" xfId="57" applyFont="1" applyBorder="1" applyAlignment="1">
      <alignment vertical="top"/>
      <protection/>
    </xf>
    <xf numFmtId="164" fontId="4" fillId="0" borderId="15" xfId="57" applyFont="1" applyBorder="1">
      <alignment/>
      <protection/>
    </xf>
    <xf numFmtId="164" fontId="4" fillId="0" borderId="19" xfId="57" applyFont="1" applyBorder="1" applyAlignment="1" quotePrefix="1">
      <alignment horizontal="right"/>
      <protection/>
    </xf>
    <xf numFmtId="164" fontId="4" fillId="0" borderId="19" xfId="57" applyFont="1" applyBorder="1">
      <alignment/>
      <protection/>
    </xf>
    <xf numFmtId="164" fontId="4" fillId="0" borderId="0" xfId="57" applyFont="1" applyBorder="1" applyAlignment="1">
      <alignment horizontal="right"/>
      <protection/>
    </xf>
    <xf numFmtId="164" fontId="4" fillId="0" borderId="0" xfId="57" applyFont="1" applyBorder="1" applyAlignment="1">
      <alignment vertical="top" wrapText="1"/>
      <protection/>
    </xf>
    <xf numFmtId="164" fontId="4" fillId="0" borderId="15" xfId="57" applyFont="1" applyBorder="1" applyAlignment="1">
      <alignment vertical="top" wrapText="1"/>
      <protection/>
    </xf>
    <xf numFmtId="164" fontId="5" fillId="0" borderId="20" xfId="57" applyNumberFormat="1" applyFont="1" applyBorder="1" applyProtection="1">
      <alignment/>
      <protection/>
    </xf>
    <xf numFmtId="164" fontId="5" fillId="0" borderId="0" xfId="57" applyNumberFormat="1" applyFont="1" applyAlignment="1" applyProtection="1">
      <alignment horizontal="centerContinuous"/>
      <protection/>
    </xf>
    <xf numFmtId="164" fontId="6" fillId="0" borderId="0" xfId="57" applyNumberFormat="1" applyFont="1" applyAlignment="1" applyProtection="1">
      <alignment horizontal="left"/>
      <protection/>
    </xf>
    <xf numFmtId="164" fontId="5" fillId="0" borderId="21" xfId="57" applyNumberFormat="1" applyFont="1" applyBorder="1" applyProtection="1">
      <alignment/>
      <protection/>
    </xf>
    <xf numFmtId="164" fontId="5" fillId="0" borderId="22" xfId="57" applyNumberFormat="1" applyFont="1" applyBorder="1" applyProtection="1">
      <alignment/>
      <protection/>
    </xf>
    <xf numFmtId="164" fontId="5" fillId="0" borderId="23" xfId="57" applyNumberFormat="1" applyFont="1" applyBorder="1" applyProtection="1">
      <alignment/>
      <protection/>
    </xf>
    <xf numFmtId="164" fontId="5" fillId="0" borderId="0" xfId="57" applyFont="1">
      <alignment/>
      <protection/>
    </xf>
    <xf numFmtId="164" fontId="5" fillId="0" borderId="24" xfId="57" applyNumberFormat="1" applyFont="1" applyBorder="1" applyProtection="1">
      <alignment/>
      <protection/>
    </xf>
    <xf numFmtId="164" fontId="5" fillId="0" borderId="25" xfId="57" applyNumberFormat="1" applyFont="1" applyBorder="1" applyAlignment="1" applyProtection="1">
      <alignment horizontal="centerContinuous"/>
      <protection/>
    </xf>
    <xf numFmtId="164" fontId="5" fillId="0" borderId="26" xfId="57" applyNumberFormat="1" applyFont="1" applyBorder="1" applyAlignment="1" applyProtection="1">
      <alignment horizontal="centerContinuous"/>
      <protection/>
    </xf>
    <xf numFmtId="164" fontId="5" fillId="0" borderId="27" xfId="57" applyNumberFormat="1" applyFont="1" applyBorder="1" applyProtection="1">
      <alignment/>
      <protection/>
    </xf>
    <xf numFmtId="164" fontId="5" fillId="0" borderId="20" xfId="57" applyNumberFormat="1" applyFont="1" applyBorder="1" applyAlignment="1" applyProtection="1">
      <alignment horizontal="centerContinuous"/>
      <protection/>
    </xf>
    <xf numFmtId="164" fontId="5" fillId="0" borderId="28" xfId="57" applyNumberFormat="1" applyFont="1" applyBorder="1" applyProtection="1">
      <alignment/>
      <protection/>
    </xf>
    <xf numFmtId="164" fontId="5" fillId="0" borderId="29" xfId="57" applyNumberFormat="1" applyFont="1" applyBorder="1" applyProtection="1">
      <alignment/>
      <protection/>
    </xf>
    <xf numFmtId="164" fontId="5" fillId="0" borderId="30" xfId="57" applyNumberFormat="1" applyFont="1" applyBorder="1" applyProtection="1">
      <alignment/>
      <protection/>
    </xf>
    <xf numFmtId="164" fontId="5" fillId="0" borderId="31" xfId="57" applyNumberFormat="1" applyFont="1" applyBorder="1" applyProtection="1">
      <alignment/>
      <protection/>
    </xf>
    <xf numFmtId="164" fontId="5" fillId="0" borderId="25" xfId="57" applyNumberFormat="1" applyFont="1" applyBorder="1" applyProtection="1">
      <alignment/>
      <protection/>
    </xf>
    <xf numFmtId="164" fontId="5" fillId="0" borderId="26" xfId="57" applyNumberFormat="1" applyFont="1" applyBorder="1" applyProtection="1">
      <alignment/>
      <protection/>
    </xf>
    <xf numFmtId="164" fontId="5" fillId="0" borderId="32" xfId="57" applyNumberFormat="1" applyFont="1" applyBorder="1" applyProtection="1">
      <alignment/>
      <protection/>
    </xf>
    <xf numFmtId="164" fontId="5" fillId="0" borderId="33" xfId="57" applyNumberFormat="1" applyFont="1" applyBorder="1" applyProtection="1">
      <alignment/>
      <protection/>
    </xf>
    <xf numFmtId="164" fontId="5" fillId="0" borderId="34" xfId="57" applyNumberFormat="1" applyFont="1" applyBorder="1" applyProtection="1">
      <alignment/>
      <protection/>
    </xf>
    <xf numFmtId="164" fontId="5" fillId="0" borderId="35" xfId="57" applyNumberFormat="1" applyFont="1" applyBorder="1" applyProtection="1">
      <alignment/>
      <protection/>
    </xf>
    <xf numFmtId="164" fontId="7" fillId="0" borderId="31" xfId="57" applyNumberFormat="1" applyFont="1" applyBorder="1" applyAlignment="1" applyProtection="1">
      <alignment horizontal="centerContinuous"/>
      <protection/>
    </xf>
    <xf numFmtId="164" fontId="7" fillId="0" borderId="32" xfId="57" applyNumberFormat="1" applyFont="1" applyBorder="1" applyAlignment="1" applyProtection="1">
      <alignment horizontal="centerContinuous"/>
      <protection/>
    </xf>
    <xf numFmtId="164" fontId="9" fillId="0" borderId="0" xfId="57" applyNumberFormat="1" applyFont="1" applyAlignment="1" applyProtection="1">
      <alignment horizontal="centerContinuous"/>
      <protection/>
    </xf>
    <xf numFmtId="164" fontId="10" fillId="0" borderId="32" xfId="57" applyNumberFormat="1" applyFont="1" applyBorder="1" applyProtection="1">
      <alignment/>
      <protection/>
    </xf>
    <xf numFmtId="164" fontId="10" fillId="0" borderId="36" xfId="57" applyFont="1" applyBorder="1">
      <alignment/>
      <protection/>
    </xf>
    <xf numFmtId="164" fontId="3" fillId="0" borderId="0" xfId="57" applyNumberFormat="1" applyFont="1" applyBorder="1" applyAlignment="1" applyProtection="1">
      <alignment/>
      <protection/>
    </xf>
    <xf numFmtId="164" fontId="3" fillId="0" borderId="0" xfId="57" applyNumberFormat="1" applyFont="1" applyBorder="1" applyProtection="1">
      <alignment/>
      <protection/>
    </xf>
    <xf numFmtId="164" fontId="5" fillId="0" borderId="0" xfId="57" applyNumberFormat="1" applyFont="1" applyBorder="1" applyProtection="1">
      <alignment/>
      <protection/>
    </xf>
    <xf numFmtId="164" fontId="11" fillId="0" borderId="0" xfId="57" applyFont="1">
      <alignment/>
      <protection/>
    </xf>
    <xf numFmtId="164" fontId="10" fillId="0" borderId="0" xfId="57" applyNumberFormat="1" applyFont="1" applyBorder="1" applyAlignment="1" applyProtection="1">
      <alignment/>
      <protection/>
    </xf>
    <xf numFmtId="164" fontId="10" fillId="0" borderId="0" xfId="57" applyFont="1" applyBorder="1">
      <alignment/>
      <protection/>
    </xf>
    <xf numFmtId="164" fontId="10" fillId="0" borderId="0" xfId="57" applyNumberFormat="1" applyFont="1" applyBorder="1" applyProtection="1">
      <alignment/>
      <protection/>
    </xf>
    <xf numFmtId="164" fontId="10" fillId="0" borderId="36" xfId="57" applyNumberFormat="1" applyFont="1" applyBorder="1" applyProtection="1">
      <alignment/>
      <protection/>
    </xf>
    <xf numFmtId="164" fontId="10" fillId="0" borderId="0" xfId="57" applyNumberFormat="1" applyFont="1" applyBorder="1" applyAlignment="1" applyProtection="1">
      <alignment horizontal="left"/>
      <protection/>
    </xf>
    <xf numFmtId="164" fontId="10" fillId="0" borderId="37" xfId="57" applyNumberFormat="1" applyFont="1" applyBorder="1" applyProtection="1">
      <alignment/>
      <protection/>
    </xf>
    <xf numFmtId="164" fontId="10" fillId="0" borderId="38" xfId="57" applyNumberFormat="1" applyFont="1" applyBorder="1" applyProtection="1">
      <alignment/>
      <protection/>
    </xf>
    <xf numFmtId="164" fontId="10" fillId="0" borderId="20" xfId="57" applyNumberFormat="1" applyFont="1" applyBorder="1" applyProtection="1">
      <alignment/>
      <protection/>
    </xf>
    <xf numFmtId="164" fontId="2" fillId="0" borderId="0" xfId="57" applyAlignment="1">
      <alignment horizontal="centerContinuous"/>
      <protection/>
    </xf>
    <xf numFmtId="164" fontId="5" fillId="0" borderId="0" xfId="57" applyNumberFormat="1" applyFont="1" applyBorder="1" applyAlignment="1" applyProtection="1">
      <alignment horizontal="centerContinuous"/>
      <protection/>
    </xf>
    <xf numFmtId="164" fontId="2" fillId="0" borderId="37" xfId="57" applyBorder="1">
      <alignment/>
      <protection/>
    </xf>
    <xf numFmtId="164" fontId="10" fillId="0" borderId="39" xfId="57" applyNumberFormat="1" applyFont="1" applyBorder="1" applyProtection="1">
      <alignment/>
      <protection/>
    </xf>
    <xf numFmtId="164" fontId="10" fillId="0" borderId="39" xfId="57" applyFont="1" applyBorder="1">
      <alignment/>
      <protection/>
    </xf>
    <xf numFmtId="164" fontId="10" fillId="0" borderId="40" xfId="57" applyNumberFormat="1" applyFont="1" applyBorder="1" applyProtection="1">
      <alignment/>
      <protection/>
    </xf>
    <xf numFmtId="164" fontId="10" fillId="0" borderId="41" xfId="57" applyNumberFormat="1" applyFont="1" applyBorder="1" applyProtection="1">
      <alignment/>
      <protection/>
    </xf>
    <xf numFmtId="164" fontId="5" fillId="0" borderId="42" xfId="57" applyNumberFormat="1" applyFont="1" applyBorder="1" applyProtection="1">
      <alignment/>
      <protection/>
    </xf>
    <xf numFmtId="164" fontId="5" fillId="0" borderId="39" xfId="57" applyNumberFormat="1" applyFont="1" applyBorder="1" applyProtection="1">
      <alignment/>
      <protection/>
    </xf>
    <xf numFmtId="164" fontId="5" fillId="0" borderId="43" xfId="57" applyNumberFormat="1" applyFont="1" applyBorder="1" applyProtection="1">
      <alignment/>
      <protection/>
    </xf>
    <xf numFmtId="164" fontId="5" fillId="0" borderId="44" xfId="57" applyNumberFormat="1" applyFont="1" applyBorder="1" applyProtection="1">
      <alignment/>
      <protection/>
    </xf>
    <xf numFmtId="164" fontId="5" fillId="0" borderId="45" xfId="57" applyNumberFormat="1" applyFont="1" applyBorder="1" applyProtection="1">
      <alignment/>
      <protection/>
    </xf>
    <xf numFmtId="164" fontId="5" fillId="0" borderId="46" xfId="57" applyNumberFormat="1" applyFont="1" applyBorder="1" applyProtection="1">
      <alignment/>
      <protection/>
    </xf>
    <xf numFmtId="164" fontId="2" fillId="0" borderId="0" xfId="57" applyAlignment="1">
      <alignment horizontal="left"/>
      <protection/>
    </xf>
    <xf numFmtId="164" fontId="10" fillId="0" borderId="0" xfId="57" applyFont="1">
      <alignment/>
      <protection/>
    </xf>
    <xf numFmtId="164" fontId="5" fillId="0" borderId="0" xfId="57" applyNumberFormat="1" applyFont="1" applyAlignment="1" applyProtection="1">
      <alignment/>
      <protection/>
    </xf>
    <xf numFmtId="164" fontId="5" fillId="0" borderId="0" xfId="57" applyNumberFormat="1" applyFont="1" applyBorder="1" applyAlignment="1" applyProtection="1">
      <alignment/>
      <protection/>
    </xf>
    <xf numFmtId="164" fontId="5" fillId="0" borderId="37" xfId="57" applyNumberFormat="1" applyFont="1" applyBorder="1" applyAlignment="1" applyProtection="1">
      <alignment/>
      <protection/>
    </xf>
    <xf numFmtId="164" fontId="7" fillId="0" borderId="0" xfId="57" applyNumberFormat="1" applyFont="1" applyBorder="1" applyAlignment="1" applyProtection="1">
      <alignment/>
      <protection/>
    </xf>
    <xf numFmtId="164" fontId="5" fillId="0" borderId="36" xfId="57" applyNumberFormat="1" applyFont="1" applyBorder="1" applyProtection="1">
      <alignment/>
      <protection/>
    </xf>
    <xf numFmtId="164" fontId="5" fillId="0" borderId="0" xfId="57" applyFont="1" applyAlignment="1">
      <alignment/>
      <protection/>
    </xf>
    <xf numFmtId="164" fontId="13" fillId="0" borderId="0" xfId="57" applyFont="1" applyAlignment="1">
      <alignment horizontal="centerContinuous"/>
      <protection/>
    </xf>
    <xf numFmtId="164" fontId="5" fillId="0" borderId="20" xfId="57" applyNumberFormat="1" applyFont="1" applyBorder="1" applyAlignment="1" applyProtection="1">
      <alignment/>
      <protection/>
    </xf>
    <xf numFmtId="164" fontId="5" fillId="0" borderId="27" xfId="57" applyNumberFormat="1" applyFont="1" applyBorder="1" applyAlignment="1" applyProtection="1">
      <alignment/>
      <protection/>
    </xf>
    <xf numFmtId="164" fontId="2" fillId="0" borderId="41" xfId="57" applyBorder="1">
      <alignment/>
      <protection/>
    </xf>
    <xf numFmtId="164" fontId="5" fillId="0" borderId="47" xfId="57" applyNumberFormat="1" applyFont="1" applyBorder="1" applyAlignment="1" applyProtection="1">
      <alignment horizontal="centerContinuous"/>
      <protection/>
    </xf>
    <xf numFmtId="164" fontId="5" fillId="0" borderId="38" xfId="57" applyNumberFormat="1" applyFont="1" applyBorder="1" applyAlignment="1" applyProtection="1">
      <alignment horizontal="centerContinuous"/>
      <protection/>
    </xf>
    <xf numFmtId="164" fontId="2" fillId="0" borderId="48" xfId="57" applyBorder="1" applyAlignment="1">
      <alignment horizontal="centerContinuous"/>
      <protection/>
    </xf>
    <xf numFmtId="164" fontId="8" fillId="0" borderId="37" xfId="57" applyNumberFormat="1" applyFont="1" applyBorder="1" applyAlignment="1" applyProtection="1">
      <alignment horizontal="centerContinuous"/>
      <protection/>
    </xf>
    <xf numFmtId="164" fontId="5" fillId="0" borderId="49" xfId="57" applyNumberFormat="1" applyFont="1" applyBorder="1" applyProtection="1">
      <alignment/>
      <protection/>
    </xf>
    <xf numFmtId="164" fontId="5" fillId="0" borderId="48" xfId="57" applyNumberFormat="1" applyFont="1" applyBorder="1" applyProtection="1">
      <alignment/>
      <protection/>
    </xf>
    <xf numFmtId="164" fontId="5" fillId="0" borderId="50" xfId="57" applyNumberFormat="1" applyFont="1" applyBorder="1" applyProtection="1">
      <alignment/>
      <protection/>
    </xf>
    <xf numFmtId="164" fontId="5" fillId="0" borderId="51" xfId="57" applyNumberFormat="1" applyFont="1" applyBorder="1" applyProtection="1">
      <alignment/>
      <protection/>
    </xf>
    <xf numFmtId="164" fontId="5" fillId="0" borderId="0" xfId="57" applyNumberFormat="1" applyFont="1" applyAlignment="1" applyProtection="1">
      <alignment horizontal="right"/>
      <protection/>
    </xf>
    <xf numFmtId="164" fontId="7" fillId="0" borderId="52" xfId="57" applyNumberFormat="1" applyFont="1" applyBorder="1" applyProtection="1">
      <alignment/>
      <protection/>
    </xf>
    <xf numFmtId="164" fontId="10" fillId="0" borderId="24" xfId="57" applyNumberFormat="1" applyFont="1" applyBorder="1" applyProtection="1">
      <alignment/>
      <protection/>
    </xf>
    <xf numFmtId="164" fontId="11" fillId="0" borderId="39" xfId="57" applyFont="1" applyBorder="1">
      <alignment/>
      <protection/>
    </xf>
    <xf numFmtId="164" fontId="10" fillId="0" borderId="15" xfId="57" applyNumberFormat="1" applyFont="1" applyBorder="1" applyProtection="1">
      <alignment/>
      <protection/>
    </xf>
    <xf numFmtId="164" fontId="11" fillId="0" borderId="15" xfId="57" applyFont="1" applyBorder="1">
      <alignment/>
      <protection/>
    </xf>
    <xf numFmtId="164" fontId="7" fillId="0" borderId="37" xfId="57" applyNumberFormat="1" applyFont="1" applyBorder="1" applyProtection="1">
      <alignment/>
      <protection/>
    </xf>
    <xf numFmtId="164" fontId="7" fillId="0" borderId="0" xfId="57" applyNumberFormat="1" applyFont="1" applyBorder="1" applyProtection="1">
      <alignment/>
      <protection/>
    </xf>
    <xf numFmtId="164" fontId="7" fillId="0" borderId="24" xfId="57" applyNumberFormat="1" applyFont="1" applyBorder="1" applyProtection="1">
      <alignment/>
      <protection/>
    </xf>
    <xf numFmtId="164" fontId="7" fillId="0" borderId="36" xfId="57" applyNumberFormat="1" applyFont="1" applyBorder="1" applyProtection="1">
      <alignment/>
      <protection/>
    </xf>
    <xf numFmtId="164" fontId="7" fillId="0" borderId="51" xfId="57" applyNumberFormat="1" applyFont="1" applyBorder="1" applyProtection="1">
      <alignment/>
      <protection/>
    </xf>
    <xf numFmtId="164" fontId="14" fillId="0" borderId="0" xfId="57" applyFont="1">
      <alignment/>
      <protection/>
    </xf>
    <xf numFmtId="164" fontId="7" fillId="0" borderId="0" xfId="57" applyNumberFormat="1" applyFont="1" applyBorder="1" applyAlignment="1" applyProtection="1">
      <alignment horizontal="center"/>
      <protection/>
    </xf>
    <xf numFmtId="164" fontId="14" fillId="0" borderId="0" xfId="57" applyFont="1" applyBorder="1" applyAlignment="1">
      <alignment/>
      <protection/>
    </xf>
    <xf numFmtId="164" fontId="15" fillId="0" borderId="0" xfId="57" applyFont="1" applyBorder="1" applyAlignment="1">
      <alignment horizontal="center" vertical="center"/>
      <protection/>
    </xf>
    <xf numFmtId="164" fontId="14" fillId="0" borderId="0" xfId="57" applyFont="1" applyAlignment="1">
      <alignment/>
      <protection/>
    </xf>
    <xf numFmtId="164" fontId="7" fillId="0" borderId="38" xfId="57" applyNumberFormat="1" applyFont="1" applyBorder="1" applyProtection="1">
      <alignment/>
      <protection/>
    </xf>
    <xf numFmtId="164" fontId="7" fillId="0" borderId="27" xfId="57" applyNumberFormat="1" applyFont="1" applyBorder="1" applyProtection="1">
      <alignment/>
      <protection/>
    </xf>
    <xf numFmtId="164" fontId="7" fillId="0" borderId="0" xfId="57" applyFont="1">
      <alignment/>
      <protection/>
    </xf>
    <xf numFmtId="164" fontId="10" fillId="0" borderId="39" xfId="57" applyFont="1" applyBorder="1" applyAlignment="1" quotePrefix="1">
      <alignment/>
      <protection/>
    </xf>
    <xf numFmtId="164" fontId="10" fillId="0" borderId="39" xfId="57" applyNumberFormat="1" applyFont="1" applyBorder="1" applyAlignment="1" applyProtection="1">
      <alignment/>
      <protection/>
    </xf>
    <xf numFmtId="164" fontId="10" fillId="0" borderId="39" xfId="57" applyFont="1" applyBorder="1" applyAlignment="1">
      <alignment/>
      <protection/>
    </xf>
    <xf numFmtId="164" fontId="10" fillId="0" borderId="53" xfId="57" applyNumberFormat="1" applyFont="1" applyBorder="1" applyProtection="1">
      <alignment/>
      <protection/>
    </xf>
    <xf numFmtId="164" fontId="10" fillId="0" borderId="54" xfId="57" applyFont="1" applyBorder="1" applyAlignment="1">
      <alignment/>
      <protection/>
    </xf>
    <xf numFmtId="164" fontId="10" fillId="0" borderId="54" xfId="57" applyNumberFormat="1" applyFont="1" applyBorder="1" applyAlignment="1" applyProtection="1">
      <alignment/>
      <protection/>
    </xf>
    <xf numFmtId="164" fontId="11" fillId="0" borderId="54" xfId="57" applyFont="1" applyBorder="1">
      <alignment/>
      <protection/>
    </xf>
    <xf numFmtId="164" fontId="11" fillId="0" borderId="54" xfId="57" applyFont="1" applyBorder="1" applyAlignment="1">
      <alignment/>
      <protection/>
    </xf>
    <xf numFmtId="164" fontId="10" fillId="0" borderId="54" xfId="57" applyNumberFormat="1" applyFont="1" applyBorder="1" applyAlignment="1" applyProtection="1">
      <alignment horizontal="right"/>
      <protection/>
    </xf>
    <xf numFmtId="164" fontId="10" fillId="0" borderId="54" xfId="57" applyNumberFormat="1" applyFont="1" applyBorder="1" applyAlignment="1" applyProtection="1">
      <alignment horizontal="center"/>
      <protection/>
    </xf>
    <xf numFmtId="164" fontId="10" fillId="0" borderId="54" xfId="57" applyFont="1" applyBorder="1">
      <alignment/>
      <protection/>
    </xf>
    <xf numFmtId="164" fontId="10" fillId="0" borderId="54" xfId="57" applyFont="1" applyBorder="1" quotePrefix="1">
      <alignment/>
      <protection/>
    </xf>
    <xf numFmtId="164" fontId="10" fillId="0" borderId="55" xfId="57" applyFont="1" applyBorder="1">
      <alignment/>
      <protection/>
    </xf>
    <xf numFmtId="164" fontId="5" fillId="0" borderId="56" xfId="57" applyNumberFormat="1" applyFont="1" applyBorder="1" applyProtection="1">
      <alignment/>
      <protection/>
    </xf>
    <xf numFmtId="164" fontId="10" fillId="0" borderId="32" xfId="57" applyNumberFormat="1" applyFont="1" applyBorder="1" applyAlignment="1" applyProtection="1">
      <alignment horizontal="left"/>
      <protection/>
    </xf>
    <xf numFmtId="164" fontId="9" fillId="0" borderId="49" xfId="57" applyNumberFormat="1" applyFont="1" applyBorder="1" applyAlignment="1" applyProtection="1">
      <alignment horizontal="centerContinuous"/>
      <protection/>
    </xf>
    <xf numFmtId="164" fontId="4" fillId="0" borderId="24" xfId="57" applyNumberFormat="1" applyFont="1" applyBorder="1" applyProtection="1">
      <alignment/>
      <protection/>
    </xf>
    <xf numFmtId="164" fontId="4" fillId="0" borderId="0" xfId="57" applyNumberFormat="1" applyFont="1" applyBorder="1" applyProtection="1">
      <alignment/>
      <protection/>
    </xf>
    <xf numFmtId="164" fontId="4" fillId="0" borderId="37" xfId="57" applyNumberFormat="1" applyFont="1" applyBorder="1" applyAlignment="1" applyProtection="1">
      <alignment horizontal="left"/>
      <protection/>
    </xf>
    <xf numFmtId="164" fontId="16" fillId="0" borderId="0" xfId="57" applyFont="1">
      <alignment/>
      <protection/>
    </xf>
    <xf numFmtId="164" fontId="4" fillId="0" borderId="20" xfId="57" applyNumberFormat="1" applyFont="1" applyBorder="1" applyProtection="1">
      <alignment/>
      <protection/>
    </xf>
    <xf numFmtId="164" fontId="4" fillId="0" borderId="27" xfId="57" applyNumberFormat="1" applyFont="1" applyBorder="1" applyProtection="1">
      <alignment/>
      <protection/>
    </xf>
    <xf numFmtId="164" fontId="4" fillId="0" borderId="37" xfId="57" applyNumberFormat="1" applyFont="1" applyBorder="1" applyProtection="1">
      <alignment/>
      <protection/>
    </xf>
    <xf numFmtId="164" fontId="4" fillId="0" borderId="38" xfId="57" applyNumberFormat="1" applyFont="1" applyBorder="1" applyProtection="1">
      <alignment/>
      <protection/>
    </xf>
    <xf numFmtId="164" fontId="4" fillId="0" borderId="52" xfId="57" applyNumberFormat="1" applyFont="1" applyBorder="1" applyProtection="1">
      <alignment/>
      <protection/>
    </xf>
    <xf numFmtId="164" fontId="4" fillId="0" borderId="36" xfId="57" applyNumberFormat="1" applyFont="1" applyBorder="1" applyProtection="1">
      <alignment/>
      <protection/>
    </xf>
    <xf numFmtId="164" fontId="4" fillId="0" borderId="51" xfId="57" applyNumberFormat="1" applyFont="1" applyBorder="1" applyProtection="1">
      <alignment/>
      <protection/>
    </xf>
    <xf numFmtId="164" fontId="4" fillId="0" borderId="37" xfId="57" applyNumberFormat="1" applyFont="1" applyBorder="1" applyAlignment="1" applyProtection="1">
      <alignment/>
      <protection/>
    </xf>
    <xf numFmtId="164" fontId="4" fillId="0" borderId="0" xfId="57" applyFont="1" applyAlignment="1">
      <alignment/>
      <protection/>
    </xf>
    <xf numFmtId="164" fontId="4" fillId="0" borderId="0" xfId="57" applyNumberFormat="1" applyFont="1" applyBorder="1" applyAlignment="1" applyProtection="1">
      <alignment/>
      <protection/>
    </xf>
    <xf numFmtId="164" fontId="4" fillId="0" borderId="0" xfId="57" applyFont="1" applyBorder="1" applyAlignment="1">
      <alignment/>
      <protection/>
    </xf>
    <xf numFmtId="164" fontId="4" fillId="0" borderId="0" xfId="57" applyFont="1" applyAlignment="1" quotePrefix="1">
      <alignment/>
      <protection/>
    </xf>
    <xf numFmtId="164" fontId="4" fillId="0" borderId="38" xfId="57" applyNumberFormat="1" applyFont="1" applyBorder="1" applyAlignment="1" applyProtection="1">
      <alignment/>
      <protection/>
    </xf>
    <xf numFmtId="164" fontId="4" fillId="0" borderId="0" xfId="57" applyNumberFormat="1" applyFont="1" applyBorder="1" applyAlignment="1" applyProtection="1">
      <alignment horizontal="right"/>
      <protection/>
    </xf>
    <xf numFmtId="164" fontId="4" fillId="0" borderId="0" xfId="57" applyNumberFormat="1" applyFont="1" applyBorder="1" applyAlignment="1" applyProtection="1">
      <alignment horizontal="center"/>
      <protection/>
    </xf>
    <xf numFmtId="164" fontId="4" fillId="0" borderId="37" xfId="57" applyNumberFormat="1" applyFont="1" applyBorder="1" applyAlignment="1" applyProtection="1">
      <alignment horizontal="center"/>
      <protection/>
    </xf>
    <xf numFmtId="164" fontId="4" fillId="0" borderId="38" xfId="57" applyNumberFormat="1" applyFont="1" applyBorder="1" applyAlignment="1" applyProtection="1">
      <alignment horizontal="center"/>
      <protection/>
    </xf>
    <xf numFmtId="164" fontId="16" fillId="0" borderId="0" xfId="57" applyFont="1" applyBorder="1" applyAlignment="1">
      <alignment/>
      <protection/>
    </xf>
    <xf numFmtId="164" fontId="4" fillId="0" borderId="0" xfId="57" applyFont="1" applyBorder="1" applyAlignment="1">
      <alignment horizontal="center"/>
      <protection/>
    </xf>
    <xf numFmtId="164" fontId="16" fillId="0" borderId="0" xfId="57" applyFont="1" applyBorder="1">
      <alignment/>
      <protection/>
    </xf>
    <xf numFmtId="164" fontId="10" fillId="0" borderId="0" xfId="57" applyNumberFormat="1" applyFont="1" applyFill="1" applyBorder="1" applyProtection="1">
      <alignment/>
      <protection/>
    </xf>
    <xf numFmtId="164" fontId="2" fillId="0" borderId="0" xfId="57" applyFill="1" applyProtection="1">
      <alignment/>
      <protection/>
    </xf>
    <xf numFmtId="164" fontId="8" fillId="0" borderId="38" xfId="57" applyNumberFormat="1" applyFont="1" applyFill="1" applyBorder="1" applyAlignment="1" applyProtection="1">
      <alignment horizontal="center"/>
      <protection/>
    </xf>
    <xf numFmtId="164" fontId="7" fillId="0" borderId="37" xfId="57" applyNumberFormat="1" applyFont="1" applyFill="1" applyBorder="1" applyAlignment="1" applyProtection="1">
      <alignment horizontal="center"/>
      <protection/>
    </xf>
    <xf numFmtId="164" fontId="2" fillId="0" borderId="0" xfId="57" applyFill="1">
      <alignment/>
      <protection/>
    </xf>
    <xf numFmtId="164" fontId="2" fillId="0" borderId="38" xfId="57" applyFill="1" applyBorder="1">
      <alignment/>
      <protection/>
    </xf>
    <xf numFmtId="164" fontId="14" fillId="0" borderId="0" xfId="57" applyFont="1" applyFill="1">
      <alignment/>
      <protection/>
    </xf>
    <xf numFmtId="164" fontId="16" fillId="0" borderId="0" xfId="57" applyFont="1" applyBorder="1" applyAlignment="1">
      <alignment horizontal="center"/>
      <protection/>
    </xf>
    <xf numFmtId="164" fontId="16" fillId="0" borderId="0" xfId="57" applyFont="1" applyAlignment="1">
      <alignment/>
      <protection/>
    </xf>
    <xf numFmtId="166" fontId="0" fillId="0" borderId="0" xfId="0" applyNumberFormat="1" applyAlignment="1">
      <alignment/>
    </xf>
    <xf numFmtId="0" fontId="22" fillId="0" borderId="0" xfId="0" applyFont="1" applyBorder="1" applyAlignment="1">
      <alignment/>
    </xf>
    <xf numFmtId="0" fontId="66" fillId="0" borderId="0" xfId="0" applyFont="1" applyAlignment="1">
      <alignment/>
    </xf>
    <xf numFmtId="11" fontId="66" fillId="0" borderId="0" xfId="0" applyNumberFormat="1" applyFont="1" applyAlignment="1">
      <alignment/>
    </xf>
    <xf numFmtId="0" fontId="21" fillId="0" borderId="0" xfId="0" applyFont="1" applyBorder="1" applyAlignment="1">
      <alignment/>
    </xf>
    <xf numFmtId="0" fontId="21" fillId="0" borderId="0" xfId="0" applyFont="1" applyFill="1" applyBorder="1" applyAlignment="1">
      <alignment/>
    </xf>
    <xf numFmtId="11" fontId="0" fillId="0" borderId="0" xfId="0" applyNumberFormat="1" applyAlignment="1">
      <alignment/>
    </xf>
    <xf numFmtId="164" fontId="7" fillId="0" borderId="0" xfId="57" applyFont="1" applyFill="1">
      <alignment/>
      <protection/>
    </xf>
    <xf numFmtId="164" fontId="10" fillId="0" borderId="0" xfId="57" applyFont="1" applyFill="1" applyBorder="1">
      <alignment/>
      <protection/>
    </xf>
    <xf numFmtId="164" fontId="10" fillId="0" borderId="0" xfId="57" applyNumberFormat="1" applyFont="1" applyFill="1" applyBorder="1" applyAlignment="1" applyProtection="1">
      <alignment horizontal="centerContinuous"/>
      <protection/>
    </xf>
    <xf numFmtId="164" fontId="10" fillId="0" borderId="0" xfId="57" applyNumberFormat="1" applyFont="1" applyFill="1" applyBorder="1" applyAlignment="1" applyProtection="1">
      <alignment horizontal="left"/>
      <protection/>
    </xf>
    <xf numFmtId="164" fontId="4" fillId="0" borderId="52" xfId="57" applyFont="1" applyBorder="1" applyAlignment="1">
      <alignment horizontal="center"/>
      <protection/>
    </xf>
    <xf numFmtId="164" fontId="4" fillId="0" borderId="36" xfId="57" applyFont="1" applyBorder="1" applyAlignment="1">
      <alignment horizontal="center"/>
      <protection/>
    </xf>
    <xf numFmtId="164" fontId="4" fillId="0" borderId="51" xfId="57" applyFont="1" applyBorder="1" applyAlignment="1">
      <alignment horizontal="center"/>
      <protection/>
    </xf>
    <xf numFmtId="164" fontId="4" fillId="0" borderId="0" xfId="57" applyFont="1" applyFill="1" applyBorder="1" applyAlignment="1">
      <alignment/>
      <protection/>
    </xf>
    <xf numFmtId="164" fontId="3" fillId="0" borderId="37" xfId="57" applyNumberFormat="1" applyFont="1" applyBorder="1" applyAlignment="1" applyProtection="1">
      <alignment vertical="top"/>
      <protection/>
    </xf>
    <xf numFmtId="164" fontId="3" fillId="0" borderId="20" xfId="57" applyNumberFormat="1" applyFont="1" applyBorder="1" applyAlignment="1" applyProtection="1">
      <alignment vertical="top"/>
      <protection/>
    </xf>
    <xf numFmtId="164" fontId="10" fillId="0" borderId="0" xfId="57" applyNumberFormat="1" applyFont="1" applyFill="1" applyBorder="1" applyAlignment="1" applyProtection="1">
      <alignment/>
      <protection locked="0"/>
    </xf>
    <xf numFmtId="164" fontId="3" fillId="0" borderId="0" xfId="57" applyFont="1">
      <alignment/>
      <protection/>
    </xf>
    <xf numFmtId="164" fontId="3" fillId="0" borderId="38" xfId="57" applyNumberFormat="1" applyFont="1" applyBorder="1" applyAlignment="1" applyProtection="1">
      <alignment/>
      <protection/>
    </xf>
    <xf numFmtId="164" fontId="19" fillId="34" borderId="18" xfId="57" applyNumberFormat="1" applyFont="1" applyFill="1" applyBorder="1" applyAlignment="1" applyProtection="1">
      <alignment horizontal="center"/>
      <protection/>
    </xf>
    <xf numFmtId="164" fontId="2" fillId="0" borderId="0" xfId="57" applyFont="1" applyFill="1">
      <alignment/>
      <protection/>
    </xf>
    <xf numFmtId="164" fontId="14" fillId="0" borderId="0" xfId="57" applyFont="1" applyFill="1" applyBorder="1">
      <alignment/>
      <protection/>
    </xf>
    <xf numFmtId="0" fontId="67" fillId="35" borderId="14" xfId="0" applyFont="1" applyFill="1" applyBorder="1" applyAlignment="1">
      <alignment horizontal="left" vertical="top"/>
    </xf>
    <xf numFmtId="0" fontId="67" fillId="35" borderId="0" xfId="0" applyFont="1" applyFill="1" applyBorder="1" applyAlignment="1">
      <alignment horizontal="left" vertical="top"/>
    </xf>
    <xf numFmtId="0" fontId="68" fillId="35" borderId="14" xfId="0" applyFont="1" applyFill="1" applyBorder="1" applyAlignment="1">
      <alignment horizontal="left" vertical="top" wrapText="1"/>
    </xf>
    <xf numFmtId="0" fontId="68" fillId="35" borderId="14" xfId="0" applyFont="1" applyFill="1" applyBorder="1" applyAlignment="1">
      <alignment horizontal="left" vertical="center" wrapText="1"/>
    </xf>
    <xf numFmtId="0" fontId="68" fillId="35" borderId="14" xfId="0" applyFont="1" applyFill="1" applyBorder="1" applyAlignment="1">
      <alignment vertical="center" wrapText="1"/>
    </xf>
    <xf numFmtId="0" fontId="23" fillId="35" borderId="14" xfId="0" applyFont="1" applyFill="1" applyBorder="1" applyAlignment="1">
      <alignment vertical="top" wrapText="1"/>
    </xf>
    <xf numFmtId="0" fontId="67" fillId="0" borderId="14" xfId="19" applyNumberFormat="1" applyFont="1" applyFill="1" applyBorder="1" applyAlignment="1">
      <alignment horizontal="left" vertical="top"/>
    </xf>
    <xf numFmtId="0" fontId="67" fillId="35" borderId="14" xfId="0" applyFont="1" applyFill="1" applyBorder="1" applyAlignment="1">
      <alignment horizontal="left" vertical="top" wrapText="1"/>
    </xf>
    <xf numFmtId="11" fontId="67" fillId="35" borderId="14" xfId="0" applyNumberFormat="1" applyFont="1" applyFill="1" applyBorder="1" applyAlignment="1">
      <alignment horizontal="left" vertical="center" wrapText="1"/>
    </xf>
    <xf numFmtId="0" fontId="67" fillId="35" borderId="14" xfId="0" applyFont="1" applyFill="1" applyBorder="1" applyAlignment="1">
      <alignment horizontal="left" vertical="center" wrapText="1"/>
    </xf>
    <xf numFmtId="0" fontId="69" fillId="27" borderId="1" xfId="40" applyFont="1" applyAlignment="1">
      <alignment horizontal="right" vertical="top" wrapText="1"/>
    </xf>
    <xf numFmtId="11" fontId="69" fillId="27" borderId="1" xfId="40" applyNumberFormat="1" applyFont="1" applyAlignment="1">
      <alignment horizontal="left" vertical="center" wrapText="1"/>
    </xf>
    <xf numFmtId="0" fontId="5" fillId="35" borderId="14" xfId="0" applyFont="1" applyFill="1" applyBorder="1" applyAlignment="1">
      <alignment horizontal="right" vertical="top" wrapText="1"/>
    </xf>
    <xf numFmtId="11" fontId="5" fillId="35" borderId="14" xfId="0" applyNumberFormat="1" applyFont="1" applyFill="1" applyBorder="1" applyAlignment="1">
      <alignment horizontal="left" vertical="center" wrapText="1"/>
    </xf>
    <xf numFmtId="0" fontId="5" fillId="35" borderId="14" xfId="0" applyFont="1" applyFill="1" applyBorder="1" applyAlignment="1">
      <alignment vertical="center" wrapText="1"/>
    </xf>
    <xf numFmtId="0" fontId="69" fillId="27" borderId="1" xfId="40" applyFont="1" applyAlignment="1">
      <alignment horizontal="left" vertical="center" wrapText="1"/>
    </xf>
    <xf numFmtId="0" fontId="5" fillId="35" borderId="14" xfId="0" applyFont="1" applyFill="1" applyBorder="1" applyAlignment="1">
      <alignment horizontal="left" vertical="center" wrapText="1"/>
    </xf>
    <xf numFmtId="0" fontId="69" fillId="27" borderId="57" xfId="40" applyFont="1" applyBorder="1" applyAlignment="1">
      <alignment horizontal="right" vertical="top" wrapText="1"/>
    </xf>
    <xf numFmtId="0" fontId="69" fillId="27" borderId="57" xfId="40" applyFont="1" applyBorder="1" applyAlignment="1">
      <alignment horizontal="left" vertical="center" wrapText="1"/>
    </xf>
    <xf numFmtId="11" fontId="69" fillId="27" borderId="57" xfId="40" applyNumberFormat="1" applyFont="1" applyBorder="1" applyAlignment="1">
      <alignment horizontal="left" vertical="center" wrapText="1"/>
    </xf>
    <xf numFmtId="0" fontId="5" fillId="35" borderId="58" xfId="0" applyFont="1" applyFill="1" applyBorder="1" applyAlignment="1">
      <alignment vertical="center" wrapText="1"/>
    </xf>
    <xf numFmtId="0" fontId="67" fillId="35" borderId="58" xfId="0" applyFont="1" applyFill="1" applyBorder="1" applyAlignment="1">
      <alignment horizontal="left" vertical="top" wrapText="1"/>
    </xf>
    <xf numFmtId="0" fontId="67" fillId="0" borderId="14" xfId="0" applyFont="1" applyBorder="1" applyAlignment="1">
      <alignment/>
    </xf>
    <xf numFmtId="0" fontId="67" fillId="0" borderId="0" xfId="0" applyFont="1" applyAlignment="1">
      <alignment/>
    </xf>
    <xf numFmtId="0" fontId="67" fillId="35" borderId="14" xfId="0" applyFont="1" applyFill="1" applyBorder="1" applyAlignment="1">
      <alignment horizontal="center" vertical="center" wrapText="1"/>
    </xf>
    <xf numFmtId="0" fontId="5" fillId="35" borderId="14" xfId="0" applyFont="1" applyFill="1" applyBorder="1" applyAlignment="1">
      <alignment vertical="top" wrapText="1"/>
    </xf>
    <xf numFmtId="0" fontId="67" fillId="0" borderId="14" xfId="0" applyFont="1" applyFill="1" applyBorder="1" applyAlignment="1">
      <alignment horizontal="left" vertical="top"/>
    </xf>
    <xf numFmtId="0" fontId="69" fillId="27" borderId="1" xfId="40" applyNumberFormat="1" applyFont="1" applyAlignment="1">
      <alignment horizontal="left" vertical="center" wrapText="1"/>
    </xf>
    <xf numFmtId="0" fontId="67" fillId="35" borderId="14" xfId="0" applyFont="1" applyFill="1" applyBorder="1" applyAlignment="1">
      <alignment vertical="center" wrapText="1"/>
    </xf>
    <xf numFmtId="0" fontId="67" fillId="35" borderId="0" xfId="0" applyFont="1" applyFill="1" applyBorder="1" applyAlignment="1">
      <alignment horizontal="left" vertical="top" wrapText="1"/>
    </xf>
    <xf numFmtId="0" fontId="70" fillId="29" borderId="1" xfId="48" applyFont="1" applyBorder="1" applyAlignment="1">
      <alignment horizontal="right" vertical="center" wrapText="1"/>
    </xf>
    <xf numFmtId="11" fontId="70" fillId="29" borderId="1" xfId="48" applyNumberFormat="1" applyFont="1" applyBorder="1" applyAlignment="1">
      <alignment horizontal="left" vertical="center" wrapText="1"/>
    </xf>
    <xf numFmtId="0" fontId="67" fillId="35" borderId="0" xfId="0" applyFont="1" applyFill="1" applyBorder="1" applyAlignment="1">
      <alignment vertical="center" wrapText="1"/>
    </xf>
    <xf numFmtId="0" fontId="67" fillId="0" borderId="49" xfId="0" applyFont="1" applyBorder="1" applyAlignment="1">
      <alignment/>
    </xf>
    <xf numFmtId="0" fontId="67" fillId="0" borderId="48" xfId="0" applyFont="1" applyBorder="1" applyAlignment="1">
      <alignment/>
    </xf>
    <xf numFmtId="0" fontId="67" fillId="0" borderId="50" xfId="0" applyFont="1" applyBorder="1" applyAlignment="1">
      <alignment/>
    </xf>
    <xf numFmtId="0" fontId="5" fillId="35" borderId="52" xfId="0" applyFont="1" applyFill="1" applyBorder="1" applyAlignment="1">
      <alignment vertical="top"/>
    </xf>
    <xf numFmtId="0" fontId="67" fillId="35" borderId="36" xfId="0" applyFont="1" applyFill="1" applyBorder="1" applyAlignment="1">
      <alignment vertical="top"/>
    </xf>
    <xf numFmtId="0" fontId="67" fillId="35" borderId="51" xfId="0" applyFont="1" applyFill="1" applyBorder="1" applyAlignment="1">
      <alignment vertical="top"/>
    </xf>
    <xf numFmtId="0" fontId="67" fillId="35" borderId="36" xfId="0" applyFont="1" applyFill="1" applyBorder="1" applyAlignment="1">
      <alignment horizontal="left" vertical="top"/>
    </xf>
    <xf numFmtId="0" fontId="67" fillId="35" borderId="36" xfId="0" applyFont="1" applyFill="1" applyBorder="1" applyAlignment="1">
      <alignment horizontal="center" vertical="top"/>
    </xf>
    <xf numFmtId="164" fontId="23" fillId="0" borderId="36" xfId="57" applyNumberFormat="1" applyFont="1" applyFill="1" applyBorder="1" applyAlignment="1" applyProtection="1">
      <alignment/>
      <protection locked="0"/>
    </xf>
    <xf numFmtId="0" fontId="67" fillId="35" borderId="14" xfId="0" applyFont="1" applyFill="1" applyBorder="1" applyAlignment="1">
      <alignment horizontal="center" vertical="center"/>
    </xf>
    <xf numFmtId="164" fontId="4" fillId="0" borderId="0" xfId="57" applyFont="1" applyBorder="1" applyAlignment="1">
      <alignment horizontal="left" vertical="top" wrapText="1"/>
      <protection/>
    </xf>
    <xf numFmtId="164" fontId="4" fillId="0" borderId="15" xfId="57" applyFont="1" applyBorder="1" applyAlignment="1">
      <alignment horizontal="left" vertical="top" wrapText="1"/>
      <protection/>
    </xf>
    <xf numFmtId="164" fontId="20" fillId="0" borderId="0" xfId="57" applyFont="1" applyBorder="1" applyAlignment="1">
      <alignment horizontal="left" vertical="top" wrapText="1"/>
      <protection/>
    </xf>
    <xf numFmtId="164" fontId="20" fillId="0" borderId="15" xfId="57" applyFont="1" applyBorder="1" applyAlignment="1">
      <alignment horizontal="left" vertical="top" wrapText="1"/>
      <protection/>
    </xf>
    <xf numFmtId="164" fontId="4" fillId="0" borderId="0" xfId="57" applyFont="1" applyBorder="1" applyAlignment="1">
      <alignment horizontal="left" wrapText="1"/>
      <protection/>
    </xf>
    <xf numFmtId="164" fontId="4" fillId="0" borderId="15" xfId="57" applyFont="1" applyBorder="1" applyAlignment="1">
      <alignment horizontal="left" wrapText="1"/>
      <protection/>
    </xf>
    <xf numFmtId="164" fontId="4" fillId="0" borderId="0" xfId="57" applyFont="1" applyBorder="1" applyAlignment="1">
      <alignment horizontal="left"/>
      <protection/>
    </xf>
    <xf numFmtId="164" fontId="4" fillId="0" borderId="15" xfId="57" applyFont="1" applyBorder="1" applyAlignment="1">
      <alignment horizontal="left"/>
      <protection/>
    </xf>
    <xf numFmtId="164" fontId="4" fillId="0" borderId="19" xfId="57" applyFont="1" applyBorder="1" applyAlignment="1" quotePrefix="1">
      <alignment horizontal="left" vertical="top" wrapText="1"/>
      <protection/>
    </xf>
    <xf numFmtId="164" fontId="4" fillId="0" borderId="0" xfId="57" applyFont="1" applyBorder="1" applyAlignment="1" quotePrefix="1">
      <alignment horizontal="left" vertical="top" wrapText="1"/>
      <protection/>
    </xf>
    <xf numFmtId="164" fontId="4" fillId="0" borderId="15" xfId="57" applyFont="1" applyBorder="1" applyAlignment="1" quotePrefix="1">
      <alignment horizontal="left" vertical="top" wrapText="1"/>
      <protection/>
    </xf>
    <xf numFmtId="164" fontId="4" fillId="0" borderId="59" xfId="57" applyFont="1" applyBorder="1" applyAlignment="1" quotePrefix="1">
      <alignment horizontal="left" vertical="top" wrapText="1"/>
      <protection/>
    </xf>
    <xf numFmtId="164" fontId="4" fillId="0" borderId="60" xfId="57" applyFont="1" applyBorder="1" applyAlignment="1" quotePrefix="1">
      <alignment horizontal="left" vertical="top" wrapText="1"/>
      <protection/>
    </xf>
    <xf numFmtId="164" fontId="4" fillId="0" borderId="61" xfId="57" applyFont="1" applyBorder="1" applyAlignment="1" quotePrefix="1">
      <alignment horizontal="left" vertical="top" wrapText="1"/>
      <protection/>
    </xf>
    <xf numFmtId="164" fontId="9" fillId="0" borderId="16" xfId="57" applyNumberFormat="1" applyFont="1" applyBorder="1" applyAlignment="1" applyProtection="1">
      <alignment horizontal="center"/>
      <protection/>
    </xf>
    <xf numFmtId="164" fontId="9" fillId="0" borderId="17" xfId="57" applyNumberFormat="1" applyFont="1" applyBorder="1" applyAlignment="1" applyProtection="1">
      <alignment horizontal="center"/>
      <protection/>
    </xf>
    <xf numFmtId="164" fontId="19" fillId="0" borderId="59" xfId="57" applyNumberFormat="1" applyFont="1" applyFill="1" applyBorder="1" applyAlignment="1" applyProtection="1">
      <alignment horizontal="center"/>
      <protection/>
    </xf>
    <xf numFmtId="164" fontId="19" fillId="0" borderId="60" xfId="57" applyNumberFormat="1" applyFont="1" applyFill="1" applyBorder="1" applyAlignment="1" applyProtection="1">
      <alignment horizontal="center"/>
      <protection/>
    </xf>
    <xf numFmtId="164" fontId="19" fillId="0" borderId="61" xfId="57" applyNumberFormat="1" applyFont="1" applyFill="1" applyBorder="1" applyAlignment="1" applyProtection="1">
      <alignment horizontal="center"/>
      <protection/>
    </xf>
    <xf numFmtId="164" fontId="4" fillId="0" borderId="0" xfId="57" applyFont="1" applyBorder="1" applyAlignment="1">
      <alignment horizontal="center"/>
      <protection/>
    </xf>
    <xf numFmtId="164" fontId="10" fillId="36" borderId="36" xfId="57" applyNumberFormat="1" applyFont="1" applyFill="1" applyBorder="1" applyAlignment="1" applyProtection="1">
      <alignment horizontal="center"/>
      <protection locked="0"/>
    </xf>
    <xf numFmtId="164" fontId="7" fillId="0" borderId="37" xfId="57" applyNumberFormat="1" applyFont="1" applyBorder="1" applyAlignment="1" applyProtection="1">
      <alignment horizontal="center" vertical="center"/>
      <protection/>
    </xf>
    <xf numFmtId="164" fontId="7" fillId="0" borderId="0" xfId="57" applyNumberFormat="1" applyFont="1" applyBorder="1" applyAlignment="1" applyProtection="1">
      <alignment horizontal="center" vertical="center"/>
      <protection/>
    </xf>
    <xf numFmtId="164" fontId="7" fillId="0" borderId="20" xfId="57" applyNumberFormat="1" applyFont="1" applyBorder="1" applyAlignment="1" applyProtection="1">
      <alignment horizontal="center" vertical="center"/>
      <protection/>
    </xf>
    <xf numFmtId="164" fontId="4" fillId="0" borderId="62" xfId="57" applyNumberFormat="1" applyFont="1" applyBorder="1" applyAlignment="1" applyProtection="1">
      <alignment horizontal="center"/>
      <protection/>
    </xf>
    <xf numFmtId="164" fontId="4" fillId="0" borderId="63" xfId="57" applyNumberFormat="1" applyFont="1" applyBorder="1" applyAlignment="1" applyProtection="1">
      <alignment horizontal="center"/>
      <protection/>
    </xf>
    <xf numFmtId="164" fontId="4" fillId="0" borderId="64" xfId="57" applyNumberFormat="1" applyFont="1" applyBorder="1" applyAlignment="1" applyProtection="1">
      <alignment horizontal="center"/>
      <protection/>
    </xf>
    <xf numFmtId="164" fontId="3" fillId="0" borderId="0" xfId="57" applyNumberFormat="1" applyFont="1" applyBorder="1" applyAlignment="1" applyProtection="1">
      <alignment horizontal="left" vertical="top" wrapText="1"/>
      <protection/>
    </xf>
    <xf numFmtId="164" fontId="4" fillId="36" borderId="36" xfId="57" applyNumberFormat="1" applyFont="1" applyFill="1" applyBorder="1" applyAlignment="1" applyProtection="1">
      <alignment horizontal="center"/>
      <protection locked="0"/>
    </xf>
    <xf numFmtId="165" fontId="4" fillId="33" borderId="14" xfId="57" applyNumberFormat="1" applyFont="1" applyFill="1" applyBorder="1" applyAlignment="1" applyProtection="1">
      <alignment horizontal="center"/>
      <protection/>
    </xf>
    <xf numFmtId="164" fontId="4" fillId="0" borderId="14" xfId="57" applyNumberFormat="1" applyFont="1" applyBorder="1" applyAlignment="1" applyProtection="1">
      <alignment horizontal="center"/>
      <protection/>
    </xf>
    <xf numFmtId="164" fontId="4" fillId="0" borderId="0" xfId="57" applyFont="1" applyBorder="1" applyAlignment="1">
      <alignment/>
      <protection/>
    </xf>
    <xf numFmtId="164" fontId="4" fillId="0" borderId="49" xfId="57" applyNumberFormat="1" applyFont="1" applyBorder="1" applyAlignment="1" applyProtection="1">
      <alignment horizontal="center" vertical="center"/>
      <protection/>
    </xf>
    <xf numFmtId="164" fontId="4" fillId="0" borderId="48" xfId="57" applyNumberFormat="1" applyFont="1" applyBorder="1" applyAlignment="1" applyProtection="1">
      <alignment horizontal="center" vertical="center"/>
      <protection/>
    </xf>
    <xf numFmtId="164" fontId="4" fillId="0" borderId="50" xfId="57" applyNumberFormat="1" applyFont="1" applyBorder="1" applyAlignment="1" applyProtection="1">
      <alignment horizontal="center" vertical="center"/>
      <protection/>
    </xf>
    <xf numFmtId="164" fontId="4" fillId="0" borderId="52" xfId="57" applyNumberFormat="1" applyFont="1" applyBorder="1" applyAlignment="1" applyProtection="1">
      <alignment horizontal="center" vertical="center"/>
      <protection/>
    </xf>
    <xf numFmtId="164" fontId="4" fillId="0" borderId="36" xfId="57" applyNumberFormat="1" applyFont="1" applyBorder="1" applyAlignment="1" applyProtection="1">
      <alignment horizontal="center" vertical="center"/>
      <protection/>
    </xf>
    <xf numFmtId="164" fontId="4" fillId="0" borderId="51" xfId="57" applyNumberFormat="1" applyFont="1" applyBorder="1" applyAlignment="1" applyProtection="1">
      <alignment horizontal="center" vertical="center"/>
      <protection/>
    </xf>
    <xf numFmtId="3" fontId="4" fillId="36" borderId="14" xfId="57" applyNumberFormat="1" applyFont="1" applyFill="1" applyBorder="1" applyAlignment="1" applyProtection="1">
      <alignment horizontal="center"/>
      <protection locked="0"/>
    </xf>
    <xf numFmtId="164" fontId="4" fillId="0" borderId="14" xfId="57" applyFont="1" applyBorder="1" applyAlignment="1">
      <alignment/>
      <protection/>
    </xf>
    <xf numFmtId="3" fontId="4" fillId="0" borderId="14" xfId="57" applyNumberFormat="1" applyFont="1" applyFill="1" applyBorder="1" applyAlignment="1" applyProtection="1">
      <alignment horizontal="center"/>
      <protection locked="0"/>
    </xf>
    <xf numFmtId="164" fontId="10" fillId="36" borderId="36" xfId="57" applyNumberFormat="1" applyFont="1" applyFill="1" applyBorder="1" applyAlignment="1" applyProtection="1">
      <alignment/>
      <protection locked="0"/>
    </xf>
    <xf numFmtId="164" fontId="58" fillId="36" borderId="36" xfId="53" applyNumberFormat="1" applyFill="1" applyBorder="1" applyAlignment="1" applyProtection="1">
      <alignment/>
      <protection locked="0"/>
    </xf>
    <xf numFmtId="164" fontId="5" fillId="0" borderId="0" xfId="57" applyNumberFormat="1" applyFont="1" applyBorder="1" applyAlignment="1" applyProtection="1">
      <alignment horizontal="left" vertical="top" wrapText="1"/>
      <protection/>
    </xf>
    <xf numFmtId="164" fontId="5" fillId="0" borderId="36" xfId="57" applyNumberFormat="1" applyFont="1" applyBorder="1" applyAlignment="1" applyProtection="1">
      <alignment horizontal="left" vertical="top" wrapText="1"/>
      <protection/>
    </xf>
    <xf numFmtId="164" fontId="8" fillId="36" borderId="32" xfId="57" applyNumberFormat="1" applyFont="1" applyFill="1" applyBorder="1" applyAlignment="1" applyProtection="1">
      <alignment horizontal="center"/>
      <protection locked="0"/>
    </xf>
    <xf numFmtId="164" fontId="8" fillId="36" borderId="0" xfId="57" applyNumberFormat="1" applyFont="1" applyFill="1" applyBorder="1" applyAlignment="1" applyProtection="1">
      <alignment horizontal="center"/>
      <protection locked="0"/>
    </xf>
    <xf numFmtId="164" fontId="2" fillId="36" borderId="36" xfId="57" applyFill="1" applyBorder="1" applyAlignment="1" applyProtection="1">
      <alignment/>
      <protection locked="0"/>
    </xf>
    <xf numFmtId="165" fontId="4" fillId="33" borderId="14" xfId="57" applyNumberFormat="1" applyFont="1" applyFill="1" applyBorder="1" applyAlignment="1" applyProtection="1" quotePrefix="1">
      <alignment horizontal="center"/>
      <protection/>
    </xf>
    <xf numFmtId="164" fontId="4" fillId="33" borderId="62" xfId="57" applyFont="1" applyFill="1" applyBorder="1" applyAlignment="1">
      <alignment horizontal="center"/>
      <protection/>
    </xf>
    <xf numFmtId="164" fontId="4" fillId="33" borderId="63" xfId="57" applyFont="1" applyFill="1" applyBorder="1" applyAlignment="1">
      <alignment horizontal="center"/>
      <protection/>
    </xf>
    <xf numFmtId="164" fontId="4" fillId="33" borderId="64" xfId="57" applyFont="1" applyFill="1" applyBorder="1" applyAlignment="1">
      <alignment horizontal="center"/>
      <protection/>
    </xf>
    <xf numFmtId="164" fontId="4" fillId="36" borderId="36" xfId="57" applyNumberFormat="1" applyFont="1" applyFill="1" applyBorder="1" applyAlignment="1" applyProtection="1">
      <alignment/>
      <protection locked="0"/>
    </xf>
    <xf numFmtId="164" fontId="4" fillId="0" borderId="48" xfId="57" applyFont="1" applyBorder="1" applyAlignment="1">
      <alignment/>
      <protection/>
    </xf>
    <xf numFmtId="164" fontId="4" fillId="36" borderId="63" xfId="57" applyFont="1" applyFill="1" applyBorder="1" applyAlignment="1" applyProtection="1">
      <alignment horizontal="center"/>
      <protection locked="0"/>
    </xf>
    <xf numFmtId="164" fontId="4" fillId="36" borderId="36" xfId="57" applyFont="1" applyFill="1" applyBorder="1" applyAlignment="1" applyProtection="1">
      <alignment horizontal="center"/>
      <protection locked="0"/>
    </xf>
    <xf numFmtId="164" fontId="4" fillId="0" borderId="62" xfId="57" applyNumberFormat="1" applyFont="1" applyBorder="1" applyAlignment="1" applyProtection="1">
      <alignment/>
      <protection/>
    </xf>
    <xf numFmtId="164" fontId="4" fillId="0" borderId="63" xfId="57" applyNumberFormat="1" applyFont="1" applyBorder="1" applyAlignment="1" applyProtection="1">
      <alignment/>
      <protection/>
    </xf>
    <xf numFmtId="164" fontId="4" fillId="0" borderId="64" xfId="57" applyNumberFormat="1" applyFont="1" applyBorder="1" applyAlignment="1" applyProtection="1">
      <alignment/>
      <protection/>
    </xf>
    <xf numFmtId="164" fontId="4" fillId="0" borderId="62" xfId="57" applyFont="1" applyBorder="1" applyAlignment="1">
      <alignment horizontal="right"/>
      <protection/>
    </xf>
    <xf numFmtId="164" fontId="4" fillId="0" borderId="63" xfId="57" applyFont="1" applyBorder="1" applyAlignment="1">
      <alignment horizontal="right"/>
      <protection/>
    </xf>
    <xf numFmtId="164" fontId="4" fillId="0" borderId="64" xfId="57" applyFont="1" applyBorder="1" applyAlignment="1">
      <alignment horizontal="right"/>
      <protection/>
    </xf>
    <xf numFmtId="164" fontId="4" fillId="0" borderId="14" xfId="57" applyFont="1" applyBorder="1" applyAlignment="1">
      <alignment horizontal="center"/>
      <protection/>
    </xf>
    <xf numFmtId="164" fontId="4" fillId="36" borderId="65" xfId="57" applyFont="1" applyFill="1" applyBorder="1" applyAlignment="1" applyProtection="1">
      <alignment horizontal="center"/>
      <protection locked="0"/>
    </xf>
    <xf numFmtId="164" fontId="3" fillId="0" borderId="66" xfId="57" applyFont="1" applyBorder="1" applyAlignment="1">
      <alignment horizontal="right"/>
      <protection/>
    </xf>
    <xf numFmtId="164" fontId="3" fillId="0" borderId="14" xfId="57" applyFont="1" applyBorder="1" applyAlignment="1">
      <alignment horizontal="right"/>
      <protection/>
    </xf>
    <xf numFmtId="164" fontId="3" fillId="0" borderId="14" xfId="57" applyFont="1" applyBorder="1" applyAlignment="1">
      <alignment horizontal="left"/>
      <protection/>
    </xf>
    <xf numFmtId="0" fontId="71" fillId="0" borderId="0" xfId="0" applyFont="1" applyAlignment="1">
      <alignment horizontal="left" wrapText="1"/>
    </xf>
    <xf numFmtId="164" fontId="3" fillId="0" borderId="67" xfId="57" applyFont="1" applyBorder="1" applyAlignment="1">
      <alignment horizontal="center"/>
      <protection/>
    </xf>
    <xf numFmtId="164" fontId="3" fillId="0" borderId="68" xfId="57" applyFont="1" applyBorder="1" applyAlignment="1">
      <alignment horizontal="center"/>
      <protection/>
    </xf>
    <xf numFmtId="164" fontId="3" fillId="0" borderId="14" xfId="57" applyFont="1" applyBorder="1" applyAlignment="1">
      <alignment horizontal="center"/>
      <protection/>
    </xf>
    <xf numFmtId="164" fontId="3" fillId="0" borderId="49" xfId="57" applyFont="1" applyBorder="1" applyAlignment="1">
      <alignment horizontal="center"/>
      <protection/>
    </xf>
    <xf numFmtId="164" fontId="3" fillId="0" borderId="48" xfId="57" applyFont="1" applyBorder="1" applyAlignment="1">
      <alignment horizontal="center"/>
      <protection/>
    </xf>
    <xf numFmtId="164" fontId="3" fillId="0" borderId="50" xfId="57" applyFont="1" applyBorder="1" applyAlignment="1">
      <alignment horizontal="center"/>
      <protection/>
    </xf>
    <xf numFmtId="164" fontId="3" fillId="0" borderId="52" xfId="57" applyFont="1" applyBorder="1" applyAlignment="1">
      <alignment horizontal="center"/>
      <protection/>
    </xf>
    <xf numFmtId="164" fontId="3" fillId="0" borderId="36" xfId="57" applyFont="1" applyBorder="1" applyAlignment="1">
      <alignment horizontal="center"/>
      <protection/>
    </xf>
    <xf numFmtId="164" fontId="3" fillId="0" borderId="51" xfId="57" applyFont="1" applyBorder="1" applyAlignment="1">
      <alignment horizontal="center"/>
      <protection/>
    </xf>
    <xf numFmtId="164" fontId="3" fillId="0" borderId="14" xfId="57" applyFont="1" applyFill="1" applyBorder="1" applyAlignment="1">
      <alignment horizontal="left"/>
      <protection/>
    </xf>
    <xf numFmtId="164" fontId="3" fillId="0" borderId="0" xfId="57" applyFont="1" applyBorder="1" applyAlignment="1">
      <alignment horizontal="left" vertical="top" wrapText="1"/>
      <protection/>
    </xf>
    <xf numFmtId="164" fontId="3" fillId="0" borderId="69" xfId="57" applyFont="1" applyBorder="1" applyAlignment="1">
      <alignment horizontal="center"/>
      <protection/>
    </xf>
    <xf numFmtId="164" fontId="3" fillId="0" borderId="70" xfId="57" applyFont="1" applyBorder="1" applyAlignment="1">
      <alignment horizontal="center"/>
      <protection/>
    </xf>
    <xf numFmtId="0" fontId="67" fillId="35" borderId="58" xfId="0" applyFont="1" applyFill="1" applyBorder="1" applyAlignment="1">
      <alignment horizontal="center" vertical="center"/>
    </xf>
    <xf numFmtId="0" fontId="67" fillId="35" borderId="65" xfId="0" applyFont="1" applyFill="1" applyBorder="1" applyAlignment="1">
      <alignment horizontal="center" vertical="center"/>
    </xf>
    <xf numFmtId="164" fontId="23" fillId="0" borderId="58" xfId="57" applyNumberFormat="1" applyFont="1" applyFill="1" applyBorder="1" applyAlignment="1" applyProtection="1">
      <alignment horizontal="center" vertical="center"/>
      <protection locked="0"/>
    </xf>
    <xf numFmtId="164" fontId="23" fillId="0" borderId="65" xfId="57" applyNumberFormat="1" applyFont="1" applyFill="1" applyBorder="1" applyAlignment="1" applyProtection="1">
      <alignment horizontal="center" vertical="center"/>
      <protection locked="0"/>
    </xf>
    <xf numFmtId="0" fontId="67" fillId="35" borderId="14" xfId="0" applyFont="1" applyFill="1" applyBorder="1" applyAlignment="1">
      <alignment horizontal="center" vertical="top"/>
    </xf>
    <xf numFmtId="0" fontId="5" fillId="35" borderId="0" xfId="0" applyFont="1" applyFill="1" applyBorder="1" applyAlignment="1">
      <alignment horizontal="left" vertical="top" wrapText="1"/>
    </xf>
    <xf numFmtId="0" fontId="67" fillId="35" borderId="36" xfId="0" applyFont="1" applyFill="1" applyBorder="1" applyAlignment="1">
      <alignment horizontal="center" vertical="top"/>
    </xf>
    <xf numFmtId="0" fontId="67" fillId="0" borderId="4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4"/>
  <sheetViews>
    <sheetView zoomScalePageLayoutView="0" workbookViewId="0" topLeftCell="A1">
      <selection activeCell="M8" sqref="M8"/>
    </sheetView>
  </sheetViews>
  <sheetFormatPr defaultColWidth="9.140625" defaultRowHeight="15"/>
  <cols>
    <col min="1" max="1" width="11.140625" style="0" customWidth="1"/>
  </cols>
  <sheetData>
    <row r="1" spans="1:10" ht="26.25">
      <c r="A1" s="24" t="s">
        <v>45</v>
      </c>
      <c r="B1" s="261" t="s">
        <v>46</v>
      </c>
      <c r="C1" s="261"/>
      <c r="D1" s="261"/>
      <c r="E1" s="261"/>
      <c r="F1" s="261"/>
      <c r="G1" s="261"/>
      <c r="H1" s="261"/>
      <c r="I1" s="24" t="s">
        <v>47</v>
      </c>
      <c r="J1" s="1"/>
    </row>
    <row r="2" spans="1:10" ht="26.25">
      <c r="A2" s="25" t="s">
        <v>48</v>
      </c>
      <c r="B2" s="262" t="s">
        <v>49</v>
      </c>
      <c r="C2" s="262"/>
      <c r="D2" s="262"/>
      <c r="E2" s="262"/>
      <c r="F2" s="262"/>
      <c r="G2" s="262"/>
      <c r="H2" s="262"/>
      <c r="I2" s="26"/>
      <c r="J2" s="1"/>
    </row>
    <row r="3" spans="1:10" ht="26.25" thickBot="1">
      <c r="A3" s="201"/>
      <c r="B3" s="263" t="s">
        <v>50</v>
      </c>
      <c r="C3" s="264"/>
      <c r="D3" s="264"/>
      <c r="E3" s="264"/>
      <c r="F3" s="264"/>
      <c r="G3" s="264"/>
      <c r="H3" s="265"/>
      <c r="I3" s="27" t="s">
        <v>51</v>
      </c>
      <c r="J3" s="1"/>
    </row>
    <row r="4" spans="1:10" ht="15.75">
      <c r="A4" s="30"/>
      <c r="B4" s="20"/>
      <c r="C4" s="20"/>
      <c r="D4" s="20"/>
      <c r="E4" s="20"/>
      <c r="F4" s="20"/>
      <c r="G4" s="20"/>
      <c r="H4" s="20"/>
      <c r="I4" s="23"/>
      <c r="J4" s="1"/>
    </row>
    <row r="5" spans="1:10" ht="18.75">
      <c r="A5" s="31" t="s">
        <v>52</v>
      </c>
      <c r="B5" s="247" t="s">
        <v>53</v>
      </c>
      <c r="C5" s="247"/>
      <c r="D5" s="247"/>
      <c r="E5" s="247"/>
      <c r="F5" s="247"/>
      <c r="G5" s="247"/>
      <c r="H5" s="247"/>
      <c r="I5" s="248"/>
      <c r="J5" s="28"/>
    </row>
    <row r="6" spans="1:10" ht="18.75">
      <c r="A6" s="34"/>
      <c r="B6" s="32"/>
      <c r="C6" s="32"/>
      <c r="D6" s="32"/>
      <c r="E6" s="32"/>
      <c r="F6" s="32"/>
      <c r="G6" s="32"/>
      <c r="H6" s="32"/>
      <c r="I6" s="33"/>
      <c r="J6" s="28"/>
    </row>
    <row r="7" spans="1:10" ht="18" customHeight="1">
      <c r="A7" s="31" t="s">
        <v>54</v>
      </c>
      <c r="B7" s="247" t="s">
        <v>164</v>
      </c>
      <c r="C7" s="247"/>
      <c r="D7" s="247"/>
      <c r="E7" s="247"/>
      <c r="F7" s="247"/>
      <c r="G7" s="247"/>
      <c r="H7" s="247"/>
      <c r="I7" s="248"/>
      <c r="J7" s="28"/>
    </row>
    <row r="8" spans="1:10" ht="18.75">
      <c r="A8" s="34"/>
      <c r="B8" s="247"/>
      <c r="C8" s="247"/>
      <c r="D8" s="247"/>
      <c r="E8" s="247"/>
      <c r="F8" s="247"/>
      <c r="G8" s="247"/>
      <c r="H8" s="247"/>
      <c r="I8" s="248"/>
      <c r="J8" s="28"/>
    </row>
    <row r="9" spans="1:10" ht="18" customHeight="1">
      <c r="A9" s="31" t="s">
        <v>55</v>
      </c>
      <c r="B9" s="247" t="s">
        <v>165</v>
      </c>
      <c r="C9" s="247"/>
      <c r="D9" s="247"/>
      <c r="E9" s="247"/>
      <c r="F9" s="247"/>
      <c r="G9" s="247"/>
      <c r="H9" s="247"/>
      <c r="I9" s="248"/>
      <c r="J9" s="28"/>
    </row>
    <row r="10" spans="1:10" ht="18.75">
      <c r="A10" s="31"/>
      <c r="B10" s="247"/>
      <c r="C10" s="247"/>
      <c r="D10" s="247"/>
      <c r="E10" s="247"/>
      <c r="F10" s="247"/>
      <c r="G10" s="247"/>
      <c r="H10" s="247"/>
      <c r="I10" s="248"/>
      <c r="J10" s="28"/>
    </row>
    <row r="11" spans="1:10" ht="18" customHeight="1">
      <c r="A11" s="31" t="s">
        <v>56</v>
      </c>
      <c r="B11" s="249" t="s">
        <v>57</v>
      </c>
      <c r="C11" s="249"/>
      <c r="D11" s="249"/>
      <c r="E11" s="249"/>
      <c r="F11" s="249"/>
      <c r="G11" s="249"/>
      <c r="H11" s="249"/>
      <c r="I11" s="250"/>
      <c r="J11" s="29"/>
    </row>
    <row r="12" spans="1:10" ht="18.75">
      <c r="A12" s="34"/>
      <c r="B12" s="249"/>
      <c r="C12" s="249"/>
      <c r="D12" s="249"/>
      <c r="E12" s="249"/>
      <c r="F12" s="249"/>
      <c r="G12" s="249"/>
      <c r="H12" s="249"/>
      <c r="I12" s="250"/>
      <c r="J12" s="22"/>
    </row>
    <row r="13" spans="1:10" ht="18" customHeight="1">
      <c r="A13" s="31" t="s">
        <v>58</v>
      </c>
      <c r="B13" s="251" t="s">
        <v>59</v>
      </c>
      <c r="C13" s="251"/>
      <c r="D13" s="251"/>
      <c r="E13" s="251"/>
      <c r="F13" s="251"/>
      <c r="G13" s="251"/>
      <c r="H13" s="251"/>
      <c r="I13" s="252"/>
      <c r="J13" s="22"/>
    </row>
    <row r="14" spans="1:10" ht="18.75">
      <c r="A14" s="34"/>
      <c r="B14" s="251"/>
      <c r="C14" s="251"/>
      <c r="D14" s="251"/>
      <c r="E14" s="251"/>
      <c r="F14" s="251"/>
      <c r="G14" s="251"/>
      <c r="H14" s="251"/>
      <c r="I14" s="252"/>
      <c r="J14" s="22"/>
    </row>
    <row r="15" spans="1:10" ht="18.75">
      <c r="A15" s="36" t="s">
        <v>60</v>
      </c>
      <c r="B15" s="21" t="s">
        <v>61</v>
      </c>
      <c r="C15" s="21"/>
      <c r="D15" s="21"/>
      <c r="E15" s="21"/>
      <c r="F15" s="21"/>
      <c r="G15" s="21"/>
      <c r="H15" s="21"/>
      <c r="I15" s="35"/>
      <c r="J15" s="22"/>
    </row>
    <row r="16" spans="1:10" ht="18.75">
      <c r="A16" s="37"/>
      <c r="B16" s="38" t="s">
        <v>62</v>
      </c>
      <c r="C16" s="253" t="s">
        <v>63</v>
      </c>
      <c r="D16" s="253"/>
      <c r="E16" s="253"/>
      <c r="F16" s="253"/>
      <c r="G16" s="253"/>
      <c r="H16" s="253"/>
      <c r="I16" s="254"/>
      <c r="J16" s="22"/>
    </row>
    <row r="17" spans="1:9" ht="18.75">
      <c r="A17" s="37"/>
      <c r="B17" s="38" t="s">
        <v>64</v>
      </c>
      <c r="C17" s="253" t="s">
        <v>65</v>
      </c>
      <c r="D17" s="253"/>
      <c r="E17" s="253"/>
      <c r="F17" s="253"/>
      <c r="G17" s="253"/>
      <c r="H17" s="253"/>
      <c r="I17" s="254"/>
    </row>
    <row r="18" spans="1:9" ht="18.75">
      <c r="A18" s="37"/>
      <c r="B18" s="38" t="s">
        <v>66</v>
      </c>
      <c r="C18" s="253" t="s">
        <v>67</v>
      </c>
      <c r="D18" s="253"/>
      <c r="E18" s="253"/>
      <c r="F18" s="253"/>
      <c r="G18" s="253"/>
      <c r="H18" s="253"/>
      <c r="I18" s="254"/>
    </row>
    <row r="19" spans="1:9" ht="18.75">
      <c r="A19" s="37"/>
      <c r="B19" s="38" t="s">
        <v>68</v>
      </c>
      <c r="C19" s="253" t="s">
        <v>69</v>
      </c>
      <c r="D19" s="253"/>
      <c r="E19" s="253"/>
      <c r="F19" s="253"/>
      <c r="G19" s="253"/>
      <c r="H19" s="253"/>
      <c r="I19" s="254"/>
    </row>
    <row r="20" spans="1:9" ht="18.75">
      <c r="A20" s="37"/>
      <c r="B20" s="38" t="s">
        <v>70</v>
      </c>
      <c r="C20" s="253" t="s">
        <v>71</v>
      </c>
      <c r="D20" s="253"/>
      <c r="E20" s="253"/>
      <c r="F20" s="253"/>
      <c r="G20" s="253"/>
      <c r="H20" s="253"/>
      <c r="I20" s="254"/>
    </row>
    <row r="21" spans="1:9" ht="18.75">
      <c r="A21" s="37"/>
      <c r="B21" s="21"/>
      <c r="C21" s="266" t="s">
        <v>72</v>
      </c>
      <c r="D21" s="266"/>
      <c r="E21" s="266"/>
      <c r="F21" s="266"/>
      <c r="G21" s="266"/>
      <c r="H21" s="266"/>
      <c r="I21" s="35"/>
    </row>
    <row r="22" spans="1:9" ht="18.75">
      <c r="A22" s="37"/>
      <c r="B22" s="38" t="s">
        <v>159</v>
      </c>
      <c r="C22" s="21" t="s">
        <v>166</v>
      </c>
      <c r="D22" s="21"/>
      <c r="E22" s="21"/>
      <c r="F22" s="21"/>
      <c r="G22" s="21"/>
      <c r="H22" s="21"/>
      <c r="I22" s="35"/>
    </row>
    <row r="23" spans="1:9" ht="18.75">
      <c r="A23" s="37"/>
      <c r="C23" s="39"/>
      <c r="D23" s="39"/>
      <c r="E23" s="39"/>
      <c r="F23" s="39"/>
      <c r="G23" s="39"/>
      <c r="H23" s="39"/>
      <c r="I23" s="40"/>
    </row>
    <row r="24" spans="1:9" ht="18.75">
      <c r="A24" s="37"/>
      <c r="B24" s="21" t="s">
        <v>167</v>
      </c>
      <c r="C24" s="21"/>
      <c r="D24" s="21"/>
      <c r="E24" s="21"/>
      <c r="F24" s="21"/>
      <c r="G24" s="21"/>
      <c r="H24" s="21"/>
      <c r="I24" s="35"/>
    </row>
    <row r="25" spans="1:9" ht="18.75">
      <c r="A25" s="37"/>
      <c r="B25" s="21" t="s">
        <v>137</v>
      </c>
      <c r="C25" s="21"/>
      <c r="D25" s="21"/>
      <c r="E25" s="21"/>
      <c r="F25" s="21"/>
      <c r="G25" s="21"/>
      <c r="H25" s="21"/>
      <c r="I25" s="35"/>
    </row>
    <row r="26" spans="1:9" ht="18.75">
      <c r="A26" s="36" t="s">
        <v>73</v>
      </c>
      <c r="B26" s="21" t="s">
        <v>74</v>
      </c>
      <c r="C26" s="21"/>
      <c r="D26" s="21"/>
      <c r="E26" s="21"/>
      <c r="F26" s="21"/>
      <c r="G26" s="21"/>
      <c r="H26" s="21"/>
      <c r="I26" s="35"/>
    </row>
    <row r="27" spans="1:9" ht="18.75">
      <c r="A27" s="36"/>
      <c r="B27" s="21"/>
      <c r="C27" s="21"/>
      <c r="D27" s="21"/>
      <c r="E27" s="21"/>
      <c r="F27" s="21"/>
      <c r="G27" s="21"/>
      <c r="H27" s="21"/>
      <c r="I27" s="35"/>
    </row>
    <row r="28" spans="1:9" ht="18" customHeight="1">
      <c r="A28" s="31" t="s">
        <v>75</v>
      </c>
      <c r="B28" s="247" t="s">
        <v>160</v>
      </c>
      <c r="C28" s="247"/>
      <c r="D28" s="247"/>
      <c r="E28" s="247"/>
      <c r="F28" s="247"/>
      <c r="G28" s="247"/>
      <c r="H28" s="247"/>
      <c r="I28" s="248"/>
    </row>
    <row r="29" spans="1:9" ht="18.75">
      <c r="A29" s="31"/>
      <c r="B29" s="247"/>
      <c r="C29" s="247"/>
      <c r="D29" s="247"/>
      <c r="E29" s="247"/>
      <c r="F29" s="247"/>
      <c r="G29" s="247"/>
      <c r="H29" s="247"/>
      <c r="I29" s="248"/>
    </row>
    <row r="30" spans="1:9" ht="18.75">
      <c r="A30" s="31" t="s">
        <v>138</v>
      </c>
      <c r="B30" s="39"/>
      <c r="C30" s="39"/>
      <c r="D30" s="39"/>
      <c r="E30" s="39"/>
      <c r="F30" s="39"/>
      <c r="G30" s="39"/>
      <c r="H30" s="39"/>
      <c r="I30" s="40"/>
    </row>
    <row r="31" spans="1:9" ht="18" customHeight="1">
      <c r="A31" s="255" t="s">
        <v>163</v>
      </c>
      <c r="B31" s="256"/>
      <c r="C31" s="256"/>
      <c r="D31" s="256"/>
      <c r="E31" s="256"/>
      <c r="F31" s="256"/>
      <c r="G31" s="256"/>
      <c r="H31" s="256"/>
      <c r="I31" s="257"/>
    </row>
    <row r="32" spans="1:9" ht="15">
      <c r="A32" s="255"/>
      <c r="B32" s="256"/>
      <c r="C32" s="256"/>
      <c r="D32" s="256"/>
      <c r="E32" s="256"/>
      <c r="F32" s="256"/>
      <c r="G32" s="256"/>
      <c r="H32" s="256"/>
      <c r="I32" s="257"/>
    </row>
    <row r="33" spans="1:9" ht="15.75" thickBot="1">
      <c r="A33" s="258"/>
      <c r="B33" s="259"/>
      <c r="C33" s="259"/>
      <c r="D33" s="259"/>
      <c r="E33" s="259"/>
      <c r="F33" s="259"/>
      <c r="G33" s="259"/>
      <c r="H33" s="259"/>
      <c r="I33" s="260"/>
    </row>
    <row r="34" spans="1:9" ht="18.75">
      <c r="A34" s="22"/>
      <c r="B34" s="22"/>
      <c r="C34" s="22"/>
      <c r="D34" s="22"/>
      <c r="E34" s="22"/>
      <c r="F34" s="22"/>
      <c r="G34" s="22"/>
      <c r="H34" s="22"/>
      <c r="I34" s="22"/>
    </row>
  </sheetData>
  <sheetProtection/>
  <mergeCells count="16">
    <mergeCell ref="B5:I5"/>
    <mergeCell ref="A31:I33"/>
    <mergeCell ref="B1:H1"/>
    <mergeCell ref="B2:H2"/>
    <mergeCell ref="B3:H3"/>
    <mergeCell ref="C19:I19"/>
    <mergeCell ref="C20:I20"/>
    <mergeCell ref="C21:H21"/>
    <mergeCell ref="C16:I16"/>
    <mergeCell ref="B28:I29"/>
    <mergeCell ref="B7:I8"/>
    <mergeCell ref="B9:I10"/>
    <mergeCell ref="B11:I12"/>
    <mergeCell ref="B13:I14"/>
    <mergeCell ref="C17:I17"/>
    <mergeCell ref="C18:I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G76"/>
  <sheetViews>
    <sheetView tabSelected="1" zoomScalePageLayoutView="0" workbookViewId="0" topLeftCell="A1">
      <selection activeCell="AR15" sqref="AR15"/>
    </sheetView>
  </sheetViews>
  <sheetFormatPr defaultColWidth="9.140625" defaultRowHeight="15"/>
  <cols>
    <col min="1" max="36" width="1.28515625" style="0" customWidth="1"/>
    <col min="37" max="37" width="3.7109375" style="0" customWidth="1"/>
    <col min="38" max="108" width="1.28515625" style="0" customWidth="1"/>
  </cols>
  <sheetData>
    <row r="1" spans="1:111" ht="5.25" customHeight="1">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6"/>
      <c r="DE1" s="47"/>
      <c r="DF1" s="47"/>
      <c r="DG1" s="47"/>
    </row>
    <row r="2" spans="1:111" ht="3.75" customHeight="1">
      <c r="A2" s="48"/>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51"/>
      <c r="DE2" s="47"/>
      <c r="DF2" s="47"/>
      <c r="DG2" s="47"/>
    </row>
    <row r="3" spans="1:111" ht="26.25">
      <c r="A3" s="48"/>
      <c r="B3" s="70"/>
      <c r="C3" s="70"/>
      <c r="D3" s="70"/>
      <c r="E3" s="63" t="s">
        <v>170</v>
      </c>
      <c r="F3" s="49"/>
      <c r="G3" s="49"/>
      <c r="H3" s="49"/>
      <c r="I3" s="49"/>
      <c r="J3" s="49"/>
      <c r="K3" s="49"/>
      <c r="L3" s="49"/>
      <c r="M3" s="49"/>
      <c r="N3" s="49"/>
      <c r="O3" s="49"/>
      <c r="P3" s="107"/>
      <c r="Q3" s="105"/>
      <c r="R3" s="147" t="s">
        <v>169</v>
      </c>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63" t="s">
        <v>47</v>
      </c>
      <c r="CR3" s="49"/>
      <c r="CS3" s="49"/>
      <c r="CT3" s="107"/>
      <c r="CU3" s="49"/>
      <c r="CV3" s="49"/>
      <c r="CW3" s="49"/>
      <c r="CX3" s="49"/>
      <c r="CY3" s="49"/>
      <c r="CZ3" s="49"/>
      <c r="DA3" s="49"/>
      <c r="DB3" s="49"/>
      <c r="DC3" s="50"/>
      <c r="DD3" s="51"/>
      <c r="DE3" s="47"/>
      <c r="DF3" s="47"/>
      <c r="DG3" s="47"/>
    </row>
    <row r="4" spans="1:111" ht="26.25">
      <c r="A4" s="48"/>
      <c r="B4" s="70"/>
      <c r="C4" s="70"/>
      <c r="D4" s="70"/>
      <c r="E4" s="64" t="s">
        <v>48</v>
      </c>
      <c r="F4" s="42"/>
      <c r="G4" s="42"/>
      <c r="H4" s="42"/>
      <c r="I4" s="42"/>
      <c r="J4" s="42"/>
      <c r="K4" s="42"/>
      <c r="L4" s="42"/>
      <c r="M4" s="42"/>
      <c r="N4" s="42"/>
      <c r="O4" s="81"/>
      <c r="P4" s="80"/>
      <c r="Q4" s="106"/>
      <c r="R4" s="65" t="s">
        <v>49</v>
      </c>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97"/>
      <c r="CR4" s="95"/>
      <c r="CS4" s="96"/>
      <c r="CT4" s="95"/>
      <c r="CU4" s="95"/>
      <c r="CV4" s="95"/>
      <c r="CW4" s="95"/>
      <c r="CX4" s="95"/>
      <c r="CY4" s="95"/>
      <c r="CZ4" s="95"/>
      <c r="DA4" s="95"/>
      <c r="DB4" s="95"/>
      <c r="DC4" s="102"/>
      <c r="DD4" s="51"/>
      <c r="DE4" s="47"/>
      <c r="DF4" s="47"/>
      <c r="DG4" s="47"/>
    </row>
    <row r="5" spans="1:111" ht="34.5">
      <c r="A5" s="48"/>
      <c r="B5" s="70"/>
      <c r="C5" s="70"/>
      <c r="D5" s="70"/>
      <c r="E5" s="292"/>
      <c r="F5" s="293"/>
      <c r="G5" s="293"/>
      <c r="H5" s="293"/>
      <c r="I5" s="293"/>
      <c r="J5" s="293"/>
      <c r="K5" s="293"/>
      <c r="L5" s="293"/>
      <c r="M5" s="293"/>
      <c r="N5" s="293"/>
      <c r="O5" s="293"/>
      <c r="P5" s="293"/>
      <c r="Q5" s="174"/>
      <c r="R5" s="175"/>
      <c r="S5" s="176"/>
      <c r="T5" s="176"/>
      <c r="U5" s="176"/>
      <c r="V5" s="188" t="s">
        <v>177</v>
      </c>
      <c r="W5" s="188"/>
      <c r="X5" s="176"/>
      <c r="Y5" s="1"/>
      <c r="Z5" s="1"/>
      <c r="AA5" s="178"/>
      <c r="AB5" s="178"/>
      <c r="AC5" s="178"/>
      <c r="AD5" s="178"/>
      <c r="AE5" s="178"/>
      <c r="AF5" s="178"/>
      <c r="AG5" s="178"/>
      <c r="AH5" s="178"/>
      <c r="AI5" s="178"/>
      <c r="AJ5" s="178"/>
      <c r="AK5" s="203"/>
      <c r="AL5" s="267"/>
      <c r="AM5" s="267"/>
      <c r="AN5" s="267"/>
      <c r="AO5" s="267"/>
      <c r="AP5" s="267"/>
      <c r="AQ5" s="267"/>
      <c r="AR5" s="267"/>
      <c r="AS5" s="267"/>
      <c r="AT5" s="267"/>
      <c r="AU5" s="267"/>
      <c r="AV5" s="267"/>
      <c r="AW5" s="267"/>
      <c r="AX5" s="267"/>
      <c r="AY5" s="178"/>
      <c r="AZ5" s="202"/>
      <c r="BA5" s="176"/>
      <c r="BB5" s="178"/>
      <c r="BC5" s="178"/>
      <c r="BD5" s="178"/>
      <c r="BE5" s="176"/>
      <c r="BF5" s="176"/>
      <c r="BG5" s="188" t="s">
        <v>178</v>
      </c>
      <c r="BH5" s="178"/>
      <c r="BI5" s="178"/>
      <c r="BJ5" s="178"/>
      <c r="BK5" s="178"/>
      <c r="BL5" s="178"/>
      <c r="BM5" s="178"/>
      <c r="BN5" s="178"/>
      <c r="BO5" s="178"/>
      <c r="BP5" s="178"/>
      <c r="BQ5" s="178"/>
      <c r="BR5" s="178"/>
      <c r="BS5" s="178"/>
      <c r="BT5" s="178"/>
      <c r="BU5" s="178"/>
      <c r="BV5" s="178"/>
      <c r="BW5" s="267"/>
      <c r="BX5" s="267"/>
      <c r="BY5" s="267"/>
      <c r="BZ5" s="267"/>
      <c r="CA5" s="267"/>
      <c r="CB5" s="267"/>
      <c r="CC5" s="267"/>
      <c r="CD5" s="267"/>
      <c r="CE5" s="267"/>
      <c r="CF5" s="267"/>
      <c r="CG5" s="267"/>
      <c r="CH5" s="267"/>
      <c r="CI5" s="267"/>
      <c r="CJ5" s="176"/>
      <c r="CK5" s="176"/>
      <c r="CL5" s="176"/>
      <c r="CM5" s="176"/>
      <c r="CN5" s="176"/>
      <c r="CO5" s="176"/>
      <c r="CP5" s="177"/>
      <c r="CQ5" s="108" t="s">
        <v>76</v>
      </c>
      <c r="CR5" s="42"/>
      <c r="CS5" s="81"/>
      <c r="CT5" s="80"/>
      <c r="CU5" s="42"/>
      <c r="CV5" s="42"/>
      <c r="CW5" s="42"/>
      <c r="CX5" s="42"/>
      <c r="CY5" s="42"/>
      <c r="CZ5" s="42"/>
      <c r="DA5" s="42"/>
      <c r="DB5" s="42"/>
      <c r="DC5" s="52"/>
      <c r="DD5" s="51"/>
      <c r="DE5" s="47"/>
      <c r="DF5" s="47"/>
      <c r="DG5" s="47"/>
    </row>
    <row r="6" spans="1:111" ht="3" customHeight="1" thickBot="1">
      <c r="A6" s="48"/>
      <c r="B6" s="70"/>
      <c r="C6" s="70"/>
      <c r="D6" s="70"/>
      <c r="E6" s="90"/>
      <c r="F6" s="91"/>
      <c r="G6" s="91"/>
      <c r="H6" s="91"/>
      <c r="I6" s="91"/>
      <c r="J6" s="91"/>
      <c r="K6" s="91"/>
      <c r="L6" s="91"/>
      <c r="M6" s="91"/>
      <c r="N6" s="91"/>
      <c r="O6" s="91"/>
      <c r="P6" s="91"/>
      <c r="Q6" s="104"/>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0"/>
      <c r="CR6" s="91"/>
      <c r="CS6" s="91"/>
      <c r="CT6" s="91"/>
      <c r="CU6" s="91"/>
      <c r="CV6" s="91"/>
      <c r="CW6" s="91"/>
      <c r="CX6" s="91"/>
      <c r="CY6" s="91"/>
      <c r="CZ6" s="91"/>
      <c r="DA6" s="91"/>
      <c r="DB6" s="91"/>
      <c r="DC6" s="92"/>
      <c r="DD6" s="51"/>
      <c r="DE6" s="47"/>
      <c r="DF6" s="47"/>
      <c r="DG6" s="47"/>
    </row>
    <row r="7" spans="1:111" ht="6" customHeight="1" thickTop="1">
      <c r="A7" s="48"/>
      <c r="B7" s="109"/>
      <c r="C7" s="110"/>
      <c r="D7" s="111"/>
      <c r="E7" s="56"/>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8"/>
      <c r="DD7" s="51"/>
      <c r="DE7" s="47"/>
      <c r="DF7" s="47"/>
      <c r="DG7" s="47"/>
    </row>
    <row r="8" spans="1:111" ht="20.25">
      <c r="A8" s="48"/>
      <c r="B8" s="114" t="s">
        <v>77</v>
      </c>
      <c r="C8" s="75"/>
      <c r="D8" s="112"/>
      <c r="E8" s="82"/>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74"/>
      <c r="BA8" s="74"/>
      <c r="BB8" s="74"/>
      <c r="BC8" s="74"/>
      <c r="BD8" s="74"/>
      <c r="BE8" s="74"/>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74"/>
      <c r="DC8" s="79"/>
      <c r="DD8" s="51"/>
      <c r="DE8" s="47"/>
      <c r="DF8" s="47"/>
      <c r="DG8" s="47"/>
    </row>
    <row r="9" spans="1:111" ht="4.5" customHeight="1">
      <c r="A9" s="48"/>
      <c r="B9" s="70"/>
      <c r="C9" s="70"/>
      <c r="D9" s="70"/>
      <c r="E9" s="82"/>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1"/>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9"/>
      <c r="DD9" s="51"/>
      <c r="DE9" s="47"/>
      <c r="DF9" s="47"/>
      <c r="DG9" s="47"/>
    </row>
    <row r="10" spans="1:111" ht="19.5">
      <c r="A10" s="148"/>
      <c r="B10" s="149"/>
      <c r="C10" s="149"/>
      <c r="D10" s="149"/>
      <c r="E10" s="150"/>
      <c r="F10" s="21" t="s">
        <v>78</v>
      </c>
      <c r="G10" s="151"/>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t="s">
        <v>79</v>
      </c>
      <c r="BG10" s="149"/>
      <c r="BH10" s="149"/>
      <c r="BI10" s="149"/>
      <c r="BJ10" s="151"/>
      <c r="BK10" s="149"/>
      <c r="BL10" s="149"/>
      <c r="BM10" s="149"/>
      <c r="BN10" s="149"/>
      <c r="BO10" s="149"/>
      <c r="BP10" s="149"/>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49"/>
      <c r="DC10" s="152"/>
      <c r="DD10" s="153"/>
      <c r="DE10" s="22"/>
      <c r="DF10" s="22"/>
      <c r="DG10" s="22"/>
    </row>
    <row r="11" spans="1:111" ht="16.5">
      <c r="A11" s="48"/>
      <c r="B11" s="70"/>
      <c r="C11" s="70"/>
      <c r="D11" s="70"/>
      <c r="E11" s="77"/>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74"/>
      <c r="BA11" s="74"/>
      <c r="BB11" s="74"/>
      <c r="BC11" s="74"/>
      <c r="BD11" s="74"/>
      <c r="BE11" s="74"/>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74"/>
      <c r="DC11" s="79"/>
      <c r="DD11" s="51"/>
      <c r="DE11" s="47"/>
      <c r="DF11" s="47"/>
      <c r="DG11" s="47"/>
    </row>
    <row r="12" spans="1:111" ht="4.5" customHeight="1">
      <c r="A12" s="48"/>
      <c r="B12" s="70"/>
      <c r="C12" s="70"/>
      <c r="D12" s="70"/>
      <c r="E12" s="77"/>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1"/>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9"/>
      <c r="DD12" s="51"/>
      <c r="DE12" s="47"/>
      <c r="DF12" s="47"/>
      <c r="DG12" s="47"/>
    </row>
    <row r="13" spans="1:111" ht="19.5">
      <c r="A13" s="148"/>
      <c r="B13" s="149"/>
      <c r="C13" s="149"/>
      <c r="D13" s="149"/>
      <c r="E13" s="154"/>
      <c r="F13" s="149" t="s">
        <v>80</v>
      </c>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t="s">
        <v>81</v>
      </c>
      <c r="BG13" s="21"/>
      <c r="BH13" s="21"/>
      <c r="BI13" s="21"/>
      <c r="BJ13" s="151"/>
      <c r="BK13" s="21"/>
      <c r="BL13" s="2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49"/>
      <c r="DC13" s="152"/>
      <c r="DD13" s="153"/>
      <c r="DE13" s="22"/>
      <c r="DF13" s="22"/>
      <c r="DG13" s="22"/>
    </row>
    <row r="14" spans="1:111" ht="16.5">
      <c r="A14" s="48"/>
      <c r="B14" s="70"/>
      <c r="C14" s="70"/>
      <c r="D14" s="70"/>
      <c r="E14" s="77"/>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74"/>
      <c r="BA14" s="74"/>
      <c r="BB14" s="74"/>
      <c r="BC14" s="74"/>
      <c r="BD14" s="74"/>
      <c r="BE14" s="74"/>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74"/>
      <c r="DC14" s="79"/>
      <c r="DD14" s="51"/>
      <c r="DE14" s="47"/>
      <c r="DF14" s="47"/>
      <c r="DG14" s="47"/>
    </row>
    <row r="15" spans="1:111" ht="3.75" customHeight="1">
      <c r="A15" s="48"/>
      <c r="B15" s="70"/>
      <c r="C15" s="70"/>
      <c r="D15" s="70"/>
      <c r="E15" s="77"/>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3"/>
      <c r="BJ15" s="1"/>
      <c r="BK15" s="1"/>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9"/>
      <c r="DD15" s="51"/>
      <c r="DE15" s="47"/>
      <c r="DF15" s="47"/>
      <c r="DG15" s="47"/>
    </row>
    <row r="16" spans="1:111" ht="19.5">
      <c r="A16" s="148"/>
      <c r="B16" s="149"/>
      <c r="C16" s="149"/>
      <c r="D16" s="149"/>
      <c r="E16" s="154"/>
      <c r="F16" s="149" t="s">
        <v>82</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21"/>
      <c r="BI16" s="149"/>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49"/>
      <c r="DB16" s="149"/>
      <c r="DC16" s="152"/>
      <c r="DD16" s="153"/>
      <c r="DE16" s="22"/>
      <c r="DF16" s="22"/>
      <c r="DG16" s="22"/>
    </row>
    <row r="17" spans="1:111" ht="16.5">
      <c r="A17" s="48"/>
      <c r="B17" s="70"/>
      <c r="C17" s="70"/>
      <c r="D17" s="70"/>
      <c r="E17" s="77"/>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1"/>
      <c r="AG17" s="75"/>
      <c r="AH17" s="75"/>
      <c r="AI17" s="75"/>
      <c r="AJ17" s="74"/>
      <c r="AK17" s="288"/>
      <c r="AL17" s="288"/>
      <c r="AM17" s="288"/>
      <c r="AN17" s="288"/>
      <c r="AO17" s="288"/>
      <c r="AP17" s="288"/>
      <c r="AQ17" s="288"/>
      <c r="AR17" s="288"/>
      <c r="AS17" s="288"/>
      <c r="AT17" s="75" t="s">
        <v>83</v>
      </c>
      <c r="AU17" s="288"/>
      <c r="AV17" s="288"/>
      <c r="AW17" s="288"/>
      <c r="AX17" s="288"/>
      <c r="AY17" s="288"/>
      <c r="AZ17" s="74"/>
      <c r="BA17" s="74"/>
      <c r="BB17" s="74"/>
      <c r="BC17" s="74"/>
      <c r="BD17" s="74"/>
      <c r="BE17" s="74"/>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74"/>
      <c r="CH17" s="288"/>
      <c r="CI17" s="288"/>
      <c r="CJ17" s="288"/>
      <c r="CK17" s="288"/>
      <c r="CL17" s="20"/>
      <c r="CM17" s="288"/>
      <c r="CN17" s="288"/>
      <c r="CO17" s="288"/>
      <c r="CP17" s="288"/>
      <c r="CQ17" s="288"/>
      <c r="CR17" s="288"/>
      <c r="CS17" s="288"/>
      <c r="CT17" s="288"/>
      <c r="CU17" s="288"/>
      <c r="CV17" s="75" t="s">
        <v>83</v>
      </c>
      <c r="CW17" s="288"/>
      <c r="CX17" s="288"/>
      <c r="CY17" s="288"/>
      <c r="CZ17" s="288"/>
      <c r="DA17" s="288"/>
      <c r="DB17" s="73"/>
      <c r="DC17" s="79"/>
      <c r="DD17" s="51"/>
      <c r="DE17" s="47"/>
      <c r="DF17" s="47"/>
      <c r="DG17" s="47"/>
    </row>
    <row r="18" spans="1:111" ht="3" customHeight="1">
      <c r="A18" s="48"/>
      <c r="B18" s="70"/>
      <c r="C18" s="70"/>
      <c r="D18" s="70"/>
      <c r="E18" s="77"/>
      <c r="F18" s="74"/>
      <c r="G18" s="74"/>
      <c r="H18" s="74"/>
      <c r="I18" s="74"/>
      <c r="J18" s="74"/>
      <c r="K18" s="74"/>
      <c r="L18" s="74"/>
      <c r="M18" s="74"/>
      <c r="N18" s="74"/>
      <c r="O18" s="74"/>
      <c r="P18" s="74"/>
      <c r="Q18" s="74"/>
      <c r="R18" s="74"/>
      <c r="S18" s="74"/>
      <c r="T18" s="74"/>
      <c r="U18" s="74"/>
      <c r="V18" s="74"/>
      <c r="W18" s="74"/>
      <c r="X18" s="74"/>
      <c r="Y18" s="74"/>
      <c r="Z18" s="74"/>
      <c r="AA18" s="74"/>
      <c r="AB18" s="74"/>
      <c r="AC18" s="1"/>
      <c r="AD18" s="1"/>
      <c r="AE18" s="1"/>
      <c r="AF18" s="1"/>
      <c r="AG18" s="74"/>
      <c r="AH18" s="74"/>
      <c r="AI18" s="74"/>
      <c r="AJ18" s="74"/>
      <c r="AK18" s="74"/>
      <c r="AL18" s="74"/>
      <c r="AM18" s="74"/>
      <c r="AN18" s="74"/>
      <c r="AO18" s="74"/>
      <c r="AP18" s="74"/>
      <c r="AQ18" s="74"/>
      <c r="AR18" s="74"/>
      <c r="AS18" s="74"/>
      <c r="AT18" s="74"/>
      <c r="AU18" s="74"/>
      <c r="AV18" s="74"/>
      <c r="AW18" s="20"/>
      <c r="AX18" s="20"/>
      <c r="AY18" s="20"/>
      <c r="AZ18" s="74"/>
      <c r="BA18" s="74"/>
      <c r="BB18" s="74"/>
      <c r="BC18" s="74"/>
      <c r="BD18" s="74"/>
      <c r="BE18" s="74"/>
      <c r="BF18" s="74"/>
      <c r="BG18" s="74"/>
      <c r="BH18" s="74"/>
      <c r="BI18" s="73"/>
      <c r="BJ18" s="1"/>
      <c r="BK18" s="1"/>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20"/>
      <c r="CM18" s="74"/>
      <c r="CN18" s="74"/>
      <c r="CO18" s="74"/>
      <c r="CP18" s="74"/>
      <c r="CQ18" s="74"/>
      <c r="CR18" s="74"/>
      <c r="CS18" s="74"/>
      <c r="CT18" s="74"/>
      <c r="CU18" s="74"/>
      <c r="CV18" s="74"/>
      <c r="CW18" s="74"/>
      <c r="CX18" s="74"/>
      <c r="CY18" s="20"/>
      <c r="CZ18" s="20"/>
      <c r="DA18" s="20"/>
      <c r="DB18" s="73"/>
      <c r="DC18" s="79"/>
      <c r="DD18" s="51"/>
      <c r="DE18" s="47"/>
      <c r="DF18" s="47"/>
      <c r="DG18" s="47"/>
    </row>
    <row r="19" spans="1:111" ht="19.5">
      <c r="A19" s="148"/>
      <c r="B19" s="149"/>
      <c r="C19" s="149"/>
      <c r="D19" s="149"/>
      <c r="E19" s="154"/>
      <c r="F19" s="149" t="s">
        <v>84</v>
      </c>
      <c r="G19" s="149"/>
      <c r="H19" s="149"/>
      <c r="I19" s="149"/>
      <c r="J19" s="149"/>
      <c r="K19" s="149"/>
      <c r="L19" s="149"/>
      <c r="M19" s="149"/>
      <c r="N19" s="149"/>
      <c r="O19" s="149"/>
      <c r="P19" s="149"/>
      <c r="Q19" s="149"/>
      <c r="R19" s="149"/>
      <c r="S19" s="149"/>
      <c r="T19" s="149"/>
      <c r="U19" s="149"/>
      <c r="V19" s="149"/>
      <c r="W19" s="149"/>
      <c r="X19" s="149"/>
      <c r="Y19" s="149"/>
      <c r="Z19" s="149"/>
      <c r="AA19" s="149"/>
      <c r="AB19" s="149"/>
      <c r="AC19" s="151"/>
      <c r="AD19" s="151"/>
      <c r="AE19" s="151"/>
      <c r="AF19" s="151"/>
      <c r="AG19" s="149" t="s">
        <v>85</v>
      </c>
      <c r="AH19" s="149"/>
      <c r="AI19" s="149"/>
      <c r="AJ19" s="149"/>
      <c r="AK19" s="149" t="s">
        <v>86</v>
      </c>
      <c r="AL19" s="149"/>
      <c r="AM19" s="149"/>
      <c r="AN19" s="149"/>
      <c r="AO19" s="149"/>
      <c r="AP19" s="149"/>
      <c r="AQ19" s="149"/>
      <c r="AR19" s="149"/>
      <c r="AS19" s="149"/>
      <c r="AT19" s="149"/>
      <c r="AU19" s="149"/>
      <c r="AV19" s="149"/>
      <c r="AW19" s="151"/>
      <c r="AX19" s="151"/>
      <c r="AY19" s="151"/>
      <c r="AZ19" s="149"/>
      <c r="BA19" s="149"/>
      <c r="BB19" s="149"/>
      <c r="BC19" s="149"/>
      <c r="BD19" s="149"/>
      <c r="BE19" s="149"/>
      <c r="BF19" s="149" t="s">
        <v>156</v>
      </c>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51"/>
      <c r="CD19" s="151"/>
      <c r="CE19" s="151"/>
      <c r="CF19" s="151"/>
      <c r="CG19" s="149"/>
      <c r="CH19" s="149"/>
      <c r="CI19" s="149"/>
      <c r="CJ19" s="149"/>
      <c r="CK19" s="151"/>
      <c r="CL19" s="149"/>
      <c r="CM19" s="149"/>
      <c r="CN19" s="149"/>
      <c r="CO19" s="149"/>
      <c r="CP19" s="149"/>
      <c r="CQ19" s="151"/>
      <c r="CR19" s="151"/>
      <c r="CS19" s="151"/>
      <c r="CT19" s="151"/>
      <c r="CU19" s="151"/>
      <c r="CV19" s="151"/>
      <c r="CW19" s="151"/>
      <c r="CX19" s="151"/>
      <c r="CY19" s="151"/>
      <c r="CZ19" s="151"/>
      <c r="DA19" s="151"/>
      <c r="DB19" s="151"/>
      <c r="DC19" s="155"/>
      <c r="DD19" s="153"/>
      <c r="DE19" s="22"/>
      <c r="DF19" s="22"/>
      <c r="DG19" s="22"/>
    </row>
    <row r="20" spans="1:111" ht="16.5">
      <c r="A20" s="48"/>
      <c r="B20" s="70"/>
      <c r="C20" s="70"/>
      <c r="D20" s="70"/>
      <c r="E20" s="77"/>
      <c r="F20" s="75" t="s">
        <v>87</v>
      </c>
      <c r="G20" s="267"/>
      <c r="H20" s="267"/>
      <c r="I20" s="267"/>
      <c r="J20" s="267"/>
      <c r="K20" s="267"/>
      <c r="L20" s="75" t="s">
        <v>88</v>
      </c>
      <c r="M20" s="288"/>
      <c r="N20" s="288"/>
      <c r="O20" s="288"/>
      <c r="P20" s="288"/>
      <c r="Q20" s="288"/>
      <c r="R20" s="288"/>
      <c r="S20" s="288"/>
      <c r="T20" s="288"/>
      <c r="U20" s="288"/>
      <c r="V20" s="288"/>
      <c r="W20" s="288"/>
      <c r="X20" s="288"/>
      <c r="Y20" s="288"/>
      <c r="Z20" s="288"/>
      <c r="AA20" s="288"/>
      <c r="AB20" s="288"/>
      <c r="AC20" s="288"/>
      <c r="AD20" s="288"/>
      <c r="AE20" s="288"/>
      <c r="AF20" s="288"/>
      <c r="AG20" s="1"/>
      <c r="AH20" s="1"/>
      <c r="AI20" s="67" t="s">
        <v>87</v>
      </c>
      <c r="AJ20" s="267"/>
      <c r="AK20" s="267"/>
      <c r="AL20" s="267"/>
      <c r="AM20" s="267"/>
      <c r="AN20" s="267"/>
      <c r="AO20" s="67" t="s">
        <v>88</v>
      </c>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1"/>
      <c r="BL20" s="173"/>
      <c r="BM20" s="289"/>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1"/>
      <c r="DC20" s="78"/>
      <c r="DD20" s="51"/>
      <c r="DE20" s="47"/>
      <c r="DF20" s="47"/>
      <c r="DG20" s="47"/>
    </row>
    <row r="21" spans="1:111" ht="2.25" customHeight="1">
      <c r="A21" s="48"/>
      <c r="B21" s="70"/>
      <c r="C21" s="70"/>
      <c r="D21" s="70"/>
      <c r="E21" s="77"/>
      <c r="F21" s="74"/>
      <c r="G21" s="74"/>
      <c r="H21" s="74"/>
      <c r="I21" s="74"/>
      <c r="J21" s="1"/>
      <c r="K21" s="74"/>
      <c r="L21" s="74"/>
      <c r="M21" s="74"/>
      <c r="N21" s="74"/>
      <c r="O21" s="74"/>
      <c r="P21" s="74"/>
      <c r="Q21" s="74"/>
      <c r="R21" s="74"/>
      <c r="S21" s="74"/>
      <c r="T21" s="74"/>
      <c r="U21" s="74"/>
      <c r="V21" s="74"/>
      <c r="W21" s="74"/>
      <c r="X21" s="74"/>
      <c r="Y21" s="74"/>
      <c r="Z21" s="74"/>
      <c r="AA21" s="74"/>
      <c r="AB21" s="74"/>
      <c r="AC21" s="74"/>
      <c r="AD21" s="1"/>
      <c r="AE21" s="1"/>
      <c r="AF21" s="1"/>
      <c r="AG21" s="1"/>
      <c r="AH21" s="1"/>
      <c r="AI21" s="73"/>
      <c r="AJ21" s="73"/>
      <c r="AK21" s="73"/>
      <c r="AL21" s="73"/>
      <c r="AM21" s="73"/>
      <c r="AN21" s="73"/>
      <c r="AO21" s="73"/>
      <c r="AP21" s="1"/>
      <c r="AQ21" s="1"/>
      <c r="AR21" s="73"/>
      <c r="AS21" s="73"/>
      <c r="AT21" s="73"/>
      <c r="AU21" s="73"/>
      <c r="AV21" s="1"/>
      <c r="AW21" s="73"/>
      <c r="AX21" s="73"/>
      <c r="AY21" s="73"/>
      <c r="AZ21" s="73"/>
      <c r="BA21" s="73"/>
      <c r="BB21" s="73"/>
      <c r="BC21" s="73"/>
      <c r="BD21" s="73"/>
      <c r="BE21" s="73"/>
      <c r="BF21" s="73"/>
      <c r="BG21" s="73"/>
      <c r="BH21" s="1"/>
      <c r="BI21" s="1"/>
      <c r="BJ21" s="1"/>
      <c r="BK21" s="1"/>
      <c r="BL21" s="1"/>
      <c r="BM21" s="73"/>
      <c r="BN21" s="74"/>
      <c r="BO21" s="74"/>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78"/>
      <c r="DD21" s="51"/>
      <c r="DE21" s="47"/>
      <c r="DF21" s="47"/>
      <c r="DG21" s="47"/>
    </row>
    <row r="22" spans="1:111" ht="19.5">
      <c r="A22" s="148"/>
      <c r="B22" s="149"/>
      <c r="C22" s="149"/>
      <c r="D22" s="149"/>
      <c r="E22" s="154"/>
      <c r="F22" s="21" t="s">
        <v>89</v>
      </c>
      <c r="G22" s="149"/>
      <c r="H22" s="149"/>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22" t="s">
        <v>90</v>
      </c>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21" t="s">
        <v>91</v>
      </c>
      <c r="BN22" s="149"/>
      <c r="BO22" s="149"/>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5"/>
      <c r="DD22" s="153"/>
      <c r="DE22" s="22"/>
      <c r="DF22" s="22"/>
      <c r="DG22" s="22"/>
    </row>
    <row r="23" spans="1:111" ht="3" customHeight="1" thickBot="1">
      <c r="A23" s="48"/>
      <c r="B23" s="70"/>
      <c r="C23" s="70"/>
      <c r="D23" s="70"/>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6"/>
      <c r="DD23" s="51"/>
      <c r="DE23" s="47"/>
      <c r="DF23" s="47"/>
      <c r="DG23" s="47"/>
    </row>
    <row r="24" spans="1:111" ht="3" customHeight="1" thickTop="1">
      <c r="A24" s="48"/>
      <c r="B24" s="109"/>
      <c r="C24" s="110"/>
      <c r="D24" s="111"/>
      <c r="E24" s="77"/>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8"/>
      <c r="DD24" s="51"/>
      <c r="DE24" s="47"/>
      <c r="DF24" s="47"/>
      <c r="DG24" s="47"/>
    </row>
    <row r="25" spans="1:111" ht="21" customHeight="1">
      <c r="A25" s="121"/>
      <c r="B25" s="114" t="s">
        <v>92</v>
      </c>
      <c r="C25" s="122"/>
      <c r="D25" s="123"/>
      <c r="E25" s="119"/>
      <c r="F25" s="21" t="s">
        <v>93</v>
      </c>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125"/>
      <c r="BM25" s="125"/>
      <c r="BN25" s="125"/>
      <c r="BO25" s="125"/>
      <c r="BP25" s="125"/>
      <c r="BQ25" s="125"/>
      <c r="BR25" s="125"/>
      <c r="BS25" s="125"/>
      <c r="BT25" s="125"/>
      <c r="BU25" s="125"/>
      <c r="BV25" s="125"/>
      <c r="BW25" s="125"/>
      <c r="BX25" s="125"/>
      <c r="BY25" s="125"/>
      <c r="BZ25" s="126"/>
      <c r="CA25" s="126"/>
      <c r="CB25" s="126"/>
      <c r="CC25" s="127"/>
      <c r="CD25" s="127"/>
      <c r="CE25" s="127"/>
      <c r="CF25" s="127"/>
      <c r="CG25" s="127"/>
      <c r="CH25" s="125"/>
      <c r="CI25" s="125"/>
      <c r="CJ25" s="125"/>
      <c r="CK25" s="125"/>
      <c r="CL25" s="125"/>
      <c r="CM25" s="125"/>
      <c r="CN25" s="125"/>
      <c r="CO25" s="125"/>
      <c r="CP25" s="125"/>
      <c r="CQ25" s="125"/>
      <c r="CR25" s="125"/>
      <c r="CS25" s="125"/>
      <c r="CT25" s="125"/>
      <c r="CU25" s="125"/>
      <c r="CV25" s="125"/>
      <c r="CW25" s="125"/>
      <c r="CX25" s="125"/>
      <c r="CY25" s="125"/>
      <c r="CZ25" s="128"/>
      <c r="DA25" s="128"/>
      <c r="DB25" s="98"/>
      <c r="DC25" s="129"/>
      <c r="DD25" s="130"/>
      <c r="DE25" s="131"/>
      <c r="DF25" s="131"/>
      <c r="DG25" s="131"/>
    </row>
    <row r="26" spans="1:111" ht="1.5" customHeight="1" thickBot="1">
      <c r="A26" s="48"/>
      <c r="B26" s="70"/>
      <c r="C26" s="70"/>
      <c r="D26" s="70"/>
      <c r="E26" s="85"/>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4"/>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6"/>
      <c r="DD26" s="51"/>
      <c r="DE26" s="47"/>
      <c r="DF26" s="47"/>
      <c r="DG26" s="47"/>
    </row>
    <row r="27" spans="1:111" ht="3" customHeight="1" thickTop="1">
      <c r="A27" s="48"/>
      <c r="B27" s="109"/>
      <c r="C27" s="110"/>
      <c r="D27" s="111"/>
      <c r="E27" s="77"/>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3"/>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8"/>
      <c r="DD27" s="51"/>
      <c r="DE27" s="47"/>
      <c r="DF27" s="47"/>
      <c r="DG27" s="47"/>
    </row>
    <row r="28" spans="1:111" ht="18.75">
      <c r="A28" s="148"/>
      <c r="B28" s="156" t="s">
        <v>94</v>
      </c>
      <c r="C28" s="157"/>
      <c r="D28" s="158"/>
      <c r="E28" s="159"/>
      <c r="F28" s="160" t="s">
        <v>95</v>
      </c>
      <c r="G28" s="161"/>
      <c r="H28" s="161"/>
      <c r="I28" s="161"/>
      <c r="J28" s="160"/>
      <c r="K28" s="161"/>
      <c r="L28" s="161"/>
      <c r="M28" s="161"/>
      <c r="N28" s="161"/>
      <c r="O28" s="161"/>
      <c r="P28" s="161"/>
      <c r="Q28" s="161"/>
      <c r="R28" s="161"/>
      <c r="S28" s="161"/>
      <c r="T28" s="161"/>
      <c r="U28" s="161"/>
      <c r="V28" s="161"/>
      <c r="W28" s="161"/>
      <c r="X28" s="161"/>
      <c r="Y28" s="161"/>
      <c r="Z28" s="161"/>
      <c r="AA28" s="161"/>
      <c r="AB28" s="161"/>
      <c r="AC28" s="161"/>
      <c r="AD28" s="161"/>
      <c r="AE28" s="161"/>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161"/>
      <c r="CC28" s="161"/>
      <c r="CD28" s="161" t="s">
        <v>96</v>
      </c>
      <c r="CE28" s="161"/>
      <c r="CF28" s="161"/>
      <c r="CG28" s="161"/>
      <c r="CH28" s="161"/>
      <c r="CI28" s="162"/>
      <c r="CJ28" s="161"/>
      <c r="CK28" s="161"/>
      <c r="CL28" s="161"/>
      <c r="CM28" s="161"/>
      <c r="CN28" s="299"/>
      <c r="CO28" s="299"/>
      <c r="CP28" s="299"/>
      <c r="CQ28" s="299"/>
      <c r="CR28" s="299"/>
      <c r="CS28" s="299"/>
      <c r="CT28" s="299"/>
      <c r="CU28" s="299"/>
      <c r="CV28" s="299"/>
      <c r="CW28" s="299"/>
      <c r="CX28" s="299"/>
      <c r="CY28" s="299"/>
      <c r="CZ28" s="163"/>
      <c r="DA28" s="160"/>
      <c r="DB28" s="160"/>
      <c r="DC28" s="164"/>
      <c r="DD28" s="153"/>
      <c r="DE28" s="22"/>
      <c r="DF28" s="22"/>
      <c r="DG28" s="22"/>
    </row>
    <row r="29" spans="1:111" ht="19.5">
      <c r="A29" s="148"/>
      <c r="B29" s="149"/>
      <c r="C29" s="149"/>
      <c r="D29" s="149"/>
      <c r="E29" s="159"/>
      <c r="F29" s="160" t="s">
        <v>97</v>
      </c>
      <c r="G29" s="161"/>
      <c r="H29" s="161"/>
      <c r="I29" s="161"/>
      <c r="J29" s="160"/>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0"/>
      <c r="AQ29" s="161"/>
      <c r="AR29" s="166"/>
      <c r="AS29" s="166"/>
      <c r="AT29" s="166"/>
      <c r="AU29" s="166"/>
      <c r="AV29" s="166"/>
      <c r="AW29" s="166"/>
      <c r="AX29" s="166"/>
      <c r="AY29" s="166"/>
      <c r="AZ29" s="302"/>
      <c r="BA29" s="302"/>
      <c r="BB29" s="302"/>
      <c r="BC29" s="302"/>
      <c r="BD29" s="302"/>
      <c r="BE29" s="302"/>
      <c r="BF29" s="302"/>
      <c r="BG29" s="302"/>
      <c r="BH29" s="161"/>
      <c r="BI29" s="300" t="s">
        <v>98</v>
      </c>
      <c r="BJ29" s="300"/>
      <c r="BK29" s="300"/>
      <c r="BL29" s="300"/>
      <c r="BM29" s="300"/>
      <c r="BN29" s="300"/>
      <c r="BO29" s="300"/>
      <c r="BP29" s="300"/>
      <c r="BQ29" s="300"/>
      <c r="BR29" s="300"/>
      <c r="BS29" s="300"/>
      <c r="BT29" s="180"/>
      <c r="BU29" s="180"/>
      <c r="BV29" s="180"/>
      <c r="BW29" s="180"/>
      <c r="BX29" s="180"/>
      <c r="BY29" s="161"/>
      <c r="BZ29" s="161"/>
      <c r="CA29" s="161"/>
      <c r="CB29" s="161"/>
      <c r="CC29" s="161"/>
      <c r="CD29" s="161"/>
      <c r="CE29" s="161"/>
      <c r="CF29" s="161"/>
      <c r="CG29" s="161"/>
      <c r="CH29" s="161"/>
      <c r="CI29" s="161"/>
      <c r="CJ29" s="161"/>
      <c r="CK29" s="161"/>
      <c r="CL29" s="161"/>
      <c r="CM29" s="180"/>
      <c r="CN29" s="161"/>
      <c r="CO29" s="161"/>
      <c r="CP29" s="161"/>
      <c r="CQ29" s="161"/>
      <c r="CR29" s="165"/>
      <c r="CS29" s="166"/>
      <c r="CT29" s="166"/>
      <c r="CU29" s="166"/>
      <c r="CV29" s="166"/>
      <c r="CW29" s="166"/>
      <c r="CX29" s="166"/>
      <c r="CY29" s="161"/>
      <c r="CZ29" s="163"/>
      <c r="DA29" s="160"/>
      <c r="DB29" s="160"/>
      <c r="DC29" s="164"/>
      <c r="DD29" s="153"/>
      <c r="DE29" s="22"/>
      <c r="DF29" s="22"/>
      <c r="DG29" s="22"/>
    </row>
    <row r="30" spans="1:111" ht="19.5">
      <c r="A30" s="148"/>
      <c r="B30" s="149"/>
      <c r="C30" s="149"/>
      <c r="D30" s="149"/>
      <c r="E30" s="159"/>
      <c r="F30" s="160"/>
      <c r="G30" s="161"/>
      <c r="H30" s="162"/>
      <c r="I30" s="151"/>
      <c r="J30" s="151"/>
      <c r="K30" s="151"/>
      <c r="L30" s="151"/>
      <c r="M30" s="151"/>
      <c r="N30" s="151"/>
      <c r="O30" s="151"/>
      <c r="P30" s="151"/>
      <c r="Q30" s="151"/>
      <c r="R30" s="151"/>
      <c r="S30" s="151"/>
      <c r="T30" s="151"/>
      <c r="U30" s="151"/>
      <c r="V30" s="151"/>
      <c r="W30" s="151"/>
      <c r="X30" s="151"/>
      <c r="Y30" s="151"/>
      <c r="Z30" s="151"/>
      <c r="AA30" s="151"/>
      <c r="AB30" s="151"/>
      <c r="AC30" s="161"/>
      <c r="AD30" s="160"/>
      <c r="AE30" s="151"/>
      <c r="AF30" s="151"/>
      <c r="AG30" s="151"/>
      <c r="AH30" s="151"/>
      <c r="AI30" s="151"/>
      <c r="AJ30" s="151"/>
      <c r="AK30" s="151"/>
      <c r="AL30" s="151"/>
      <c r="AM30" s="151"/>
      <c r="AN30" s="151"/>
      <c r="AO30" s="151"/>
      <c r="AP30" s="151"/>
      <c r="AQ30" s="151"/>
      <c r="AR30" s="151"/>
      <c r="AS30" s="151"/>
      <c r="AT30" s="151"/>
      <c r="AU30" s="151"/>
      <c r="AV30" s="151"/>
      <c r="AW30" s="151"/>
      <c r="AX30" s="151"/>
      <c r="AY30" s="161"/>
      <c r="AZ30" s="301"/>
      <c r="BA30" s="301"/>
      <c r="BB30" s="301"/>
      <c r="BC30" s="301"/>
      <c r="BD30" s="301"/>
      <c r="BE30" s="301"/>
      <c r="BF30" s="301"/>
      <c r="BG30" s="301"/>
      <c r="BH30" s="160"/>
      <c r="BI30" s="278" t="s">
        <v>99</v>
      </c>
      <c r="BJ30" s="278"/>
      <c r="BK30" s="278"/>
      <c r="BL30" s="278"/>
      <c r="BM30" s="278"/>
      <c r="BN30" s="278"/>
      <c r="BO30" s="278"/>
      <c r="BP30" s="278"/>
      <c r="BQ30" s="278"/>
      <c r="BR30" s="278"/>
      <c r="BS30" s="278"/>
      <c r="BT30" s="180"/>
      <c r="BU30" s="180"/>
      <c r="BV30" s="180"/>
      <c r="BW30" s="180"/>
      <c r="BX30" s="180"/>
      <c r="BY30" s="161"/>
      <c r="BZ30" s="161"/>
      <c r="CA30" s="161"/>
      <c r="CB30" s="161"/>
      <c r="CC30" s="161"/>
      <c r="CD30" s="170"/>
      <c r="CE30" s="170"/>
      <c r="CF30" s="170"/>
      <c r="CG30" s="170"/>
      <c r="CH30" s="170"/>
      <c r="CI30" s="271" t="s">
        <v>100</v>
      </c>
      <c r="CJ30" s="272"/>
      <c r="CK30" s="272"/>
      <c r="CL30" s="272"/>
      <c r="CM30" s="272"/>
      <c r="CN30" s="272"/>
      <c r="CO30" s="272"/>
      <c r="CP30" s="272"/>
      <c r="CQ30" s="272"/>
      <c r="CR30" s="273"/>
      <c r="CS30" s="296">
        <v>3273</v>
      </c>
      <c r="CT30" s="297"/>
      <c r="CU30" s="297"/>
      <c r="CV30" s="297"/>
      <c r="CW30" s="297"/>
      <c r="CX30" s="297"/>
      <c r="CY30" s="297"/>
      <c r="CZ30" s="297"/>
      <c r="DA30" s="297"/>
      <c r="DB30" s="298"/>
      <c r="DC30" s="164"/>
      <c r="DD30" s="153"/>
      <c r="DE30" s="22"/>
      <c r="DF30" s="22"/>
      <c r="DG30" s="22"/>
    </row>
    <row r="31" spans="1:111" ht="19.5">
      <c r="A31" s="148"/>
      <c r="B31" s="149"/>
      <c r="C31" s="149"/>
      <c r="D31" s="149"/>
      <c r="E31" s="159"/>
      <c r="F31" s="163"/>
      <c r="G31" s="161"/>
      <c r="H31" s="161"/>
      <c r="I31" s="161"/>
      <c r="J31" s="160"/>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301"/>
      <c r="BA31" s="301"/>
      <c r="BB31" s="301"/>
      <c r="BC31" s="301"/>
      <c r="BD31" s="301"/>
      <c r="BE31" s="301"/>
      <c r="BF31" s="301"/>
      <c r="BG31" s="301"/>
      <c r="BH31" s="161"/>
      <c r="BI31" s="278" t="s">
        <v>101</v>
      </c>
      <c r="BJ31" s="278"/>
      <c r="BK31" s="278"/>
      <c r="BL31" s="278"/>
      <c r="BM31" s="278"/>
      <c r="BN31" s="278"/>
      <c r="BO31" s="278"/>
      <c r="BP31" s="278"/>
      <c r="BQ31" s="278"/>
      <c r="BR31" s="278"/>
      <c r="BS31" s="278"/>
      <c r="BT31" s="180"/>
      <c r="BU31" s="180"/>
      <c r="BV31" s="180"/>
      <c r="BW31" s="180"/>
      <c r="BX31" s="180"/>
      <c r="BY31" s="161"/>
      <c r="BZ31" s="161"/>
      <c r="CA31" s="161"/>
      <c r="CB31" s="161"/>
      <c r="CC31" s="161"/>
      <c r="CD31" s="170"/>
      <c r="CE31" s="170"/>
      <c r="CF31" s="170"/>
      <c r="CG31" s="170"/>
      <c r="CH31" s="170"/>
      <c r="CI31" s="271" t="s">
        <v>102</v>
      </c>
      <c r="CJ31" s="272"/>
      <c r="CK31" s="272"/>
      <c r="CL31" s="272"/>
      <c r="CM31" s="272"/>
      <c r="CN31" s="272"/>
      <c r="CO31" s="272"/>
      <c r="CP31" s="272"/>
      <c r="CQ31" s="272"/>
      <c r="CR31" s="273"/>
      <c r="CS31" s="296">
        <v>32720</v>
      </c>
      <c r="CT31" s="297"/>
      <c r="CU31" s="297"/>
      <c r="CV31" s="297"/>
      <c r="CW31" s="297"/>
      <c r="CX31" s="297"/>
      <c r="CY31" s="297"/>
      <c r="CZ31" s="297"/>
      <c r="DA31" s="297"/>
      <c r="DB31" s="298"/>
      <c r="DC31" s="164"/>
      <c r="DD31" s="153"/>
      <c r="DE31" s="22"/>
      <c r="DF31" s="22"/>
      <c r="DG31" s="22"/>
    </row>
    <row r="32" spans="1:111" ht="2.25" customHeight="1">
      <c r="A32" s="148"/>
      <c r="B32" s="149"/>
      <c r="C32" s="149"/>
      <c r="D32" s="149"/>
      <c r="E32" s="167"/>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66"/>
      <c r="BW32" s="166"/>
      <c r="BX32" s="166"/>
      <c r="BY32" s="166"/>
      <c r="BZ32" s="166"/>
      <c r="CA32" s="166"/>
      <c r="CB32" s="166"/>
      <c r="CC32" s="166"/>
      <c r="CD32" s="166"/>
      <c r="CE32" s="166"/>
      <c r="CF32" s="166"/>
      <c r="CG32" s="166"/>
      <c r="CH32" s="166"/>
      <c r="CI32" s="151"/>
      <c r="CJ32" s="151"/>
      <c r="CK32" s="151"/>
      <c r="CL32" s="151"/>
      <c r="CM32" s="151"/>
      <c r="CN32" s="151"/>
      <c r="CO32" s="151"/>
      <c r="CP32" s="151"/>
      <c r="CQ32" s="151"/>
      <c r="CR32" s="151"/>
      <c r="CS32" s="151"/>
      <c r="CT32" s="151"/>
      <c r="CU32" s="151"/>
      <c r="CV32" s="151"/>
      <c r="CW32" s="151"/>
      <c r="CX32" s="151"/>
      <c r="CY32" s="151"/>
      <c r="CZ32" s="151"/>
      <c r="DA32" s="151"/>
      <c r="DB32" s="151"/>
      <c r="DC32" s="168"/>
      <c r="DD32" s="153"/>
      <c r="DE32" s="22"/>
      <c r="DF32" s="22"/>
      <c r="DG32" s="22"/>
    </row>
    <row r="33" spans="1:111" ht="18.75">
      <c r="A33" s="148"/>
      <c r="B33" s="149"/>
      <c r="C33" s="149"/>
      <c r="D33" s="149"/>
      <c r="E33" s="167"/>
      <c r="F33" s="286" t="s">
        <v>103</v>
      </c>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309" t="s">
        <v>104</v>
      </c>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t="s">
        <v>105</v>
      </c>
      <c r="BI33" s="309"/>
      <c r="BJ33" s="309"/>
      <c r="BK33" s="309"/>
      <c r="BL33" s="309"/>
      <c r="BM33" s="309"/>
      <c r="BN33" s="309"/>
      <c r="BO33" s="309"/>
      <c r="BP33" s="309"/>
      <c r="BQ33" s="309"/>
      <c r="BR33" s="309"/>
      <c r="BS33" s="309"/>
      <c r="BT33" s="309"/>
      <c r="BU33" s="309"/>
      <c r="BV33" s="309"/>
      <c r="BW33" s="309"/>
      <c r="BX33" s="309"/>
      <c r="BY33" s="309"/>
      <c r="BZ33" s="309"/>
      <c r="CA33" s="309"/>
      <c r="CB33" s="309"/>
      <c r="CC33" s="309"/>
      <c r="CD33" s="166"/>
      <c r="CE33" s="271" t="s">
        <v>154</v>
      </c>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3"/>
      <c r="DC33" s="168"/>
      <c r="DD33" s="153"/>
      <c r="DE33" s="22"/>
      <c r="DF33" s="22"/>
      <c r="DG33" s="22"/>
    </row>
    <row r="34" spans="1:111" ht="19.5">
      <c r="A34" s="148"/>
      <c r="B34" s="149"/>
      <c r="C34" s="149"/>
      <c r="D34" s="149"/>
      <c r="E34" s="167"/>
      <c r="F34" s="306" t="s">
        <v>100</v>
      </c>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8"/>
      <c r="AL34" s="287" t="s">
        <v>29</v>
      </c>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t="s">
        <v>29</v>
      </c>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166"/>
      <c r="CE34" s="150" t="s">
        <v>161</v>
      </c>
      <c r="CF34" s="166"/>
      <c r="CG34" s="166"/>
      <c r="CH34" s="166"/>
      <c r="CI34" s="166"/>
      <c r="CJ34" s="166"/>
      <c r="CK34" s="166"/>
      <c r="CL34" s="166"/>
      <c r="CM34" s="166"/>
      <c r="CN34" s="170"/>
      <c r="CO34" s="170"/>
      <c r="CP34" s="170"/>
      <c r="CQ34" s="170"/>
      <c r="CR34" s="170"/>
      <c r="CS34" s="170"/>
      <c r="CT34" s="169"/>
      <c r="CU34" s="169"/>
      <c r="CV34" s="169"/>
      <c r="CW34" s="166"/>
      <c r="CX34" s="310"/>
      <c r="CY34" s="310"/>
      <c r="CZ34" s="310"/>
      <c r="DA34" s="166"/>
      <c r="DB34" s="168"/>
      <c r="DC34" s="168"/>
      <c r="DD34" s="153"/>
      <c r="DE34" s="22"/>
      <c r="DF34" s="22"/>
      <c r="DG34" s="22"/>
    </row>
    <row r="35" spans="1:111" ht="18.75">
      <c r="A35" s="148"/>
      <c r="B35" s="149"/>
      <c r="C35" s="149"/>
      <c r="D35" s="149"/>
      <c r="E35" s="167"/>
      <c r="F35" s="303" t="s">
        <v>106</v>
      </c>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166"/>
      <c r="CE35" s="150"/>
      <c r="CF35" s="290" t="s">
        <v>172</v>
      </c>
      <c r="CG35" s="290"/>
      <c r="CH35" s="290"/>
      <c r="CI35" s="290"/>
      <c r="CJ35" s="290"/>
      <c r="CK35" s="290"/>
      <c r="CL35" s="290"/>
      <c r="CM35" s="290"/>
      <c r="CN35" s="290"/>
      <c r="CO35" s="290"/>
      <c r="CP35" s="290"/>
      <c r="CQ35" s="290"/>
      <c r="CR35" s="290"/>
      <c r="CS35" s="290"/>
      <c r="CT35" s="290"/>
      <c r="CU35" s="290"/>
      <c r="CV35" s="290"/>
      <c r="CW35" s="290"/>
      <c r="CX35" s="290"/>
      <c r="CY35" s="290"/>
      <c r="CZ35" s="290"/>
      <c r="DA35" s="166"/>
      <c r="DB35" s="168"/>
      <c r="DC35" s="168"/>
      <c r="DD35" s="153"/>
      <c r="DE35" s="22"/>
      <c r="DF35" s="22"/>
      <c r="DG35" s="22"/>
    </row>
    <row r="36" spans="1:111" ht="19.5">
      <c r="A36" s="148"/>
      <c r="B36" s="149"/>
      <c r="C36" s="149"/>
      <c r="D36" s="149"/>
      <c r="E36" s="167"/>
      <c r="F36" s="286" t="s">
        <v>158</v>
      </c>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169"/>
      <c r="CE36" s="192"/>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193"/>
      <c r="DB36" s="194"/>
      <c r="DC36" s="168"/>
      <c r="DD36" s="153"/>
      <c r="DE36" s="22"/>
      <c r="DF36" s="22"/>
      <c r="DG36" s="22"/>
    </row>
    <row r="37" spans="1:111" ht="3" customHeight="1">
      <c r="A37" s="148"/>
      <c r="B37" s="149"/>
      <c r="C37" s="149"/>
      <c r="D37" s="149"/>
      <c r="E37" s="167"/>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6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68"/>
      <c r="DD37" s="153"/>
      <c r="DE37" s="22"/>
      <c r="DF37" s="22"/>
      <c r="DG37" s="22"/>
    </row>
    <row r="38" spans="1:111" ht="19.5">
      <c r="A38" s="148"/>
      <c r="B38" s="149"/>
      <c r="C38" s="149"/>
      <c r="D38" s="149"/>
      <c r="E38" s="167"/>
      <c r="F38" s="279" t="s">
        <v>107</v>
      </c>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1"/>
      <c r="AL38" s="277" t="s">
        <v>108</v>
      </c>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c r="CD38" s="169"/>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5"/>
      <c r="DB38" s="195"/>
      <c r="DC38" s="168"/>
      <c r="DD38" s="153"/>
      <c r="DE38" s="22"/>
      <c r="DF38" s="22"/>
      <c r="DG38" s="22"/>
    </row>
    <row r="39" spans="1:111" ht="19.5">
      <c r="A39" s="148"/>
      <c r="B39" s="149"/>
      <c r="C39" s="149"/>
      <c r="D39" s="149"/>
      <c r="E39" s="167"/>
      <c r="F39" s="282"/>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4"/>
      <c r="AL39" s="277" t="s">
        <v>109</v>
      </c>
      <c r="AM39" s="277"/>
      <c r="AN39" s="277"/>
      <c r="AO39" s="277"/>
      <c r="AP39" s="277"/>
      <c r="AQ39" s="277"/>
      <c r="AR39" s="277"/>
      <c r="AS39" s="277"/>
      <c r="AT39" s="277"/>
      <c r="AU39" s="277"/>
      <c r="AV39" s="277"/>
      <c r="AW39" s="277" t="s">
        <v>110</v>
      </c>
      <c r="AX39" s="277"/>
      <c r="AY39" s="277"/>
      <c r="AZ39" s="277"/>
      <c r="BA39" s="277"/>
      <c r="BB39" s="277"/>
      <c r="BC39" s="277"/>
      <c r="BD39" s="277"/>
      <c r="BE39" s="277"/>
      <c r="BF39" s="277"/>
      <c r="BG39" s="277"/>
      <c r="BH39" s="277" t="s">
        <v>109</v>
      </c>
      <c r="BI39" s="277"/>
      <c r="BJ39" s="277"/>
      <c r="BK39" s="277"/>
      <c r="BL39" s="277"/>
      <c r="BM39" s="277"/>
      <c r="BN39" s="277"/>
      <c r="BO39" s="277"/>
      <c r="BP39" s="277"/>
      <c r="BQ39" s="277"/>
      <c r="BR39" s="277"/>
      <c r="BS39" s="277" t="s">
        <v>110</v>
      </c>
      <c r="BT39" s="277"/>
      <c r="BU39" s="277"/>
      <c r="BV39" s="277"/>
      <c r="BW39" s="277"/>
      <c r="BX39" s="277"/>
      <c r="BY39" s="277"/>
      <c r="BZ39" s="277"/>
      <c r="CA39" s="277"/>
      <c r="CB39" s="277"/>
      <c r="CC39" s="277"/>
      <c r="CD39" s="169"/>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5"/>
      <c r="DB39" s="195"/>
      <c r="DC39" s="168"/>
      <c r="DD39" s="153"/>
      <c r="DE39" s="22"/>
      <c r="DF39" s="22"/>
      <c r="DG39" s="22"/>
    </row>
    <row r="40" spans="1:111" ht="19.5">
      <c r="A40" s="148"/>
      <c r="B40" s="149"/>
      <c r="C40" s="149"/>
      <c r="D40" s="149"/>
      <c r="E40" s="167"/>
      <c r="F40" s="286" t="s">
        <v>111</v>
      </c>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76">
        <f>'PM Emission Factors'!F15</f>
        <v>0.347376</v>
      </c>
      <c r="AM40" s="276"/>
      <c r="AN40" s="276"/>
      <c r="AO40" s="276"/>
      <c r="AP40" s="276"/>
      <c r="AQ40" s="276"/>
      <c r="AR40" s="276"/>
      <c r="AS40" s="276"/>
      <c r="AT40" s="276"/>
      <c r="AU40" s="276"/>
      <c r="AV40" s="276"/>
      <c r="AW40" s="276">
        <f>'PM Emission Factors'!H15</f>
        <v>0.05973600000000001</v>
      </c>
      <c r="AX40" s="276"/>
      <c r="AY40" s="276"/>
      <c r="AZ40" s="276"/>
      <c r="BA40" s="276"/>
      <c r="BB40" s="276"/>
      <c r="BC40" s="276"/>
      <c r="BD40" s="276"/>
      <c r="BE40" s="276"/>
      <c r="BF40" s="276"/>
      <c r="BG40" s="276"/>
      <c r="BH40" s="295">
        <f>'PM Emission Factors'!F32</f>
        <v>0.19340399999999996</v>
      </c>
      <c r="BI40" s="276"/>
      <c r="BJ40" s="276"/>
      <c r="BK40" s="276"/>
      <c r="BL40" s="276"/>
      <c r="BM40" s="276"/>
      <c r="BN40" s="276"/>
      <c r="BO40" s="276"/>
      <c r="BP40" s="276"/>
      <c r="BQ40" s="276"/>
      <c r="BR40" s="276"/>
      <c r="BS40" s="276">
        <f>'PM Emission Factors'!H32</f>
        <v>0.037288800000000004</v>
      </c>
      <c r="BT40" s="276"/>
      <c r="BU40" s="276"/>
      <c r="BV40" s="276"/>
      <c r="BW40" s="276"/>
      <c r="BX40" s="276"/>
      <c r="BY40" s="276"/>
      <c r="BZ40" s="276"/>
      <c r="CA40" s="276"/>
      <c r="CB40" s="276"/>
      <c r="CC40" s="276"/>
      <c r="CD40" s="169"/>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68"/>
      <c r="DD40" s="153"/>
      <c r="DE40" s="22"/>
      <c r="DF40" s="22"/>
      <c r="DG40" s="22"/>
    </row>
    <row r="41" spans="1:111" ht="19.5">
      <c r="A41" s="148"/>
      <c r="B41" s="149"/>
      <c r="C41" s="149"/>
      <c r="D41" s="149"/>
      <c r="E41" s="167"/>
      <c r="F41" s="286" t="s">
        <v>112</v>
      </c>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76">
        <f>'PM Emission Factors'!G15</f>
        <v>0.10292</v>
      </c>
      <c r="AM41" s="276"/>
      <c r="AN41" s="276"/>
      <c r="AO41" s="276"/>
      <c r="AP41" s="276"/>
      <c r="AQ41" s="276"/>
      <c r="AR41" s="276"/>
      <c r="AS41" s="276"/>
      <c r="AT41" s="276"/>
      <c r="AU41" s="276"/>
      <c r="AV41" s="276"/>
      <c r="AW41" s="276">
        <f>'PM Emission Factors'!I15</f>
        <v>0.0229166</v>
      </c>
      <c r="AX41" s="276"/>
      <c r="AY41" s="276"/>
      <c r="AZ41" s="276"/>
      <c r="BA41" s="276"/>
      <c r="BB41" s="276"/>
      <c r="BC41" s="276"/>
      <c r="BD41" s="276"/>
      <c r="BE41" s="276"/>
      <c r="BF41" s="276"/>
      <c r="BG41" s="276"/>
      <c r="BH41" s="276">
        <f>'PM Emission Factors'!G32</f>
        <v>0.059491999999999996</v>
      </c>
      <c r="BI41" s="276"/>
      <c r="BJ41" s="276"/>
      <c r="BK41" s="276"/>
      <c r="BL41" s="276"/>
      <c r="BM41" s="276"/>
      <c r="BN41" s="276"/>
      <c r="BO41" s="276"/>
      <c r="BP41" s="276"/>
      <c r="BQ41" s="276"/>
      <c r="BR41" s="276"/>
      <c r="BS41" s="276">
        <f>'PM Emission Factors'!I32</f>
        <v>0.017050999999999997</v>
      </c>
      <c r="BT41" s="276"/>
      <c r="BU41" s="276"/>
      <c r="BV41" s="276"/>
      <c r="BW41" s="276"/>
      <c r="BX41" s="276"/>
      <c r="BY41" s="276"/>
      <c r="BZ41" s="276"/>
      <c r="CA41" s="276"/>
      <c r="CB41" s="276"/>
      <c r="CC41" s="276"/>
      <c r="CD41" s="169"/>
      <c r="CE41" s="195"/>
      <c r="CF41" s="195"/>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95"/>
      <c r="DC41" s="168"/>
      <c r="DD41" s="153"/>
      <c r="DE41" s="22"/>
      <c r="DF41" s="22"/>
      <c r="DG41" s="22"/>
    </row>
    <row r="42" spans="1:111" ht="2.25" customHeight="1">
      <c r="A42" s="148"/>
      <c r="B42" s="149"/>
      <c r="C42" s="149"/>
      <c r="D42" s="149"/>
      <c r="E42" s="167"/>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9"/>
      <c r="CE42" s="179"/>
      <c r="CF42" s="179"/>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79"/>
      <c r="DC42" s="168"/>
      <c r="DD42" s="153"/>
      <c r="DE42" s="22"/>
      <c r="DF42" s="22"/>
      <c r="DG42" s="22"/>
    </row>
    <row r="43" spans="1:111" ht="19.5">
      <c r="A43" s="148"/>
      <c r="B43" s="149"/>
      <c r="C43" s="149"/>
      <c r="D43" s="149"/>
      <c r="E43" s="167"/>
      <c r="F43" s="279" t="s">
        <v>107</v>
      </c>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1"/>
      <c r="AL43" s="277" t="s">
        <v>113</v>
      </c>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166"/>
      <c r="CE43" s="169"/>
      <c r="CF43" s="169"/>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70"/>
      <c r="DC43" s="168"/>
      <c r="DD43" s="153"/>
      <c r="DE43" s="22"/>
      <c r="DF43" s="22"/>
      <c r="DG43" s="22"/>
    </row>
    <row r="44" spans="1:111" ht="19.5">
      <c r="A44" s="148"/>
      <c r="B44" s="149"/>
      <c r="C44" s="149"/>
      <c r="D44" s="149"/>
      <c r="E44" s="167"/>
      <c r="F44" s="282"/>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4"/>
      <c r="AL44" s="277" t="s">
        <v>109</v>
      </c>
      <c r="AM44" s="277"/>
      <c r="AN44" s="277"/>
      <c r="AO44" s="277"/>
      <c r="AP44" s="277"/>
      <c r="AQ44" s="277"/>
      <c r="AR44" s="277"/>
      <c r="AS44" s="277"/>
      <c r="AT44" s="277"/>
      <c r="AU44" s="277"/>
      <c r="AV44" s="277"/>
      <c r="AW44" s="277" t="s">
        <v>110</v>
      </c>
      <c r="AX44" s="277"/>
      <c r="AY44" s="277"/>
      <c r="AZ44" s="277"/>
      <c r="BA44" s="277"/>
      <c r="BB44" s="277"/>
      <c r="BC44" s="277"/>
      <c r="BD44" s="277"/>
      <c r="BE44" s="277"/>
      <c r="BF44" s="277"/>
      <c r="BG44" s="277"/>
      <c r="BH44" s="277" t="s">
        <v>109</v>
      </c>
      <c r="BI44" s="277"/>
      <c r="BJ44" s="277"/>
      <c r="BK44" s="277"/>
      <c r="BL44" s="277"/>
      <c r="BM44" s="277"/>
      <c r="BN44" s="277"/>
      <c r="BO44" s="277"/>
      <c r="BP44" s="277"/>
      <c r="BQ44" s="277"/>
      <c r="BR44" s="277"/>
      <c r="BS44" s="277" t="s">
        <v>110</v>
      </c>
      <c r="BT44" s="277"/>
      <c r="BU44" s="277"/>
      <c r="BV44" s="277"/>
      <c r="BW44" s="277"/>
      <c r="BX44" s="277"/>
      <c r="BY44" s="277"/>
      <c r="BZ44" s="277"/>
      <c r="CA44" s="277"/>
      <c r="CB44" s="277"/>
      <c r="CC44" s="277"/>
      <c r="CD44" s="166"/>
      <c r="CE44" s="169"/>
      <c r="CF44" s="169"/>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68"/>
      <c r="DC44" s="200"/>
      <c r="DD44" s="153"/>
      <c r="DE44" s="22"/>
      <c r="DF44" s="22"/>
      <c r="DG44" s="22"/>
    </row>
    <row r="45" spans="1:111" ht="19.5">
      <c r="A45" s="148"/>
      <c r="B45" s="149"/>
      <c r="C45" s="149"/>
      <c r="D45" s="149"/>
      <c r="E45" s="167"/>
      <c r="F45" s="286" t="s">
        <v>111</v>
      </c>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76">
        <f>AL36*AL40/2000</f>
        <v>0</v>
      </c>
      <c r="AM45" s="276"/>
      <c r="AN45" s="276"/>
      <c r="AO45" s="276"/>
      <c r="AP45" s="276"/>
      <c r="AQ45" s="276"/>
      <c r="AR45" s="276"/>
      <c r="AS45" s="276"/>
      <c r="AT45" s="276"/>
      <c r="AU45" s="276"/>
      <c r="AV45" s="276"/>
      <c r="AW45" s="276">
        <f>AL36*AW40/2000</f>
        <v>0</v>
      </c>
      <c r="AX45" s="276"/>
      <c r="AY45" s="276"/>
      <c r="AZ45" s="276"/>
      <c r="BA45" s="276"/>
      <c r="BB45" s="276"/>
      <c r="BC45" s="276"/>
      <c r="BD45" s="276"/>
      <c r="BE45" s="276"/>
      <c r="BF45" s="276"/>
      <c r="BG45" s="276"/>
      <c r="BH45" s="276">
        <f>BH36*BH40/2000</f>
        <v>0</v>
      </c>
      <c r="BI45" s="276"/>
      <c r="BJ45" s="276"/>
      <c r="BK45" s="276"/>
      <c r="BL45" s="276"/>
      <c r="BM45" s="276"/>
      <c r="BN45" s="276"/>
      <c r="BO45" s="276"/>
      <c r="BP45" s="276"/>
      <c r="BQ45" s="276"/>
      <c r="BR45" s="276"/>
      <c r="BS45" s="276">
        <f>BH36*BS40/2000</f>
        <v>0</v>
      </c>
      <c r="BT45" s="276"/>
      <c r="BU45" s="276"/>
      <c r="BV45" s="276"/>
      <c r="BW45" s="276"/>
      <c r="BX45" s="276"/>
      <c r="BY45" s="276"/>
      <c r="BZ45" s="276"/>
      <c r="CA45" s="276"/>
      <c r="CB45" s="276"/>
      <c r="CC45" s="276"/>
      <c r="CD45" s="169"/>
      <c r="CE45" s="169"/>
      <c r="CF45" s="169"/>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8"/>
      <c r="DD45" s="153"/>
      <c r="DE45" s="22"/>
      <c r="DF45" s="22"/>
      <c r="DG45" s="22"/>
    </row>
    <row r="46" spans="1:111" ht="19.5">
      <c r="A46" s="148"/>
      <c r="B46" s="149"/>
      <c r="C46" s="149"/>
      <c r="D46" s="149"/>
      <c r="E46" s="167"/>
      <c r="F46" s="286" t="s">
        <v>112</v>
      </c>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76">
        <f>AL36*AL41/2000</f>
        <v>0</v>
      </c>
      <c r="AM46" s="276"/>
      <c r="AN46" s="276"/>
      <c r="AO46" s="276"/>
      <c r="AP46" s="276"/>
      <c r="AQ46" s="276"/>
      <c r="AR46" s="276"/>
      <c r="AS46" s="276"/>
      <c r="AT46" s="276"/>
      <c r="AU46" s="276"/>
      <c r="AV46" s="276"/>
      <c r="AW46" s="276">
        <f>AL36*AW41/2000</f>
        <v>0</v>
      </c>
      <c r="AX46" s="276"/>
      <c r="AY46" s="276"/>
      <c r="AZ46" s="276"/>
      <c r="BA46" s="276"/>
      <c r="BB46" s="276"/>
      <c r="BC46" s="276"/>
      <c r="BD46" s="276"/>
      <c r="BE46" s="276"/>
      <c r="BF46" s="276"/>
      <c r="BG46" s="276"/>
      <c r="BH46" s="276">
        <f>BH36*BH41/2000</f>
        <v>0</v>
      </c>
      <c r="BI46" s="276"/>
      <c r="BJ46" s="276"/>
      <c r="BK46" s="276"/>
      <c r="BL46" s="276"/>
      <c r="BM46" s="276"/>
      <c r="BN46" s="276"/>
      <c r="BO46" s="276"/>
      <c r="BP46" s="276"/>
      <c r="BQ46" s="276"/>
      <c r="BR46" s="276"/>
      <c r="BS46" s="276">
        <f>BH36*BS41/2000</f>
        <v>0</v>
      </c>
      <c r="BT46" s="276"/>
      <c r="BU46" s="276"/>
      <c r="BV46" s="276"/>
      <c r="BW46" s="276"/>
      <c r="BX46" s="276"/>
      <c r="BY46" s="276"/>
      <c r="BZ46" s="276"/>
      <c r="CA46" s="276"/>
      <c r="CB46" s="276"/>
      <c r="CC46" s="276"/>
      <c r="CD46" s="169"/>
      <c r="CE46" s="169"/>
      <c r="CF46" s="169"/>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6"/>
      <c r="DC46" s="168"/>
      <c r="DD46" s="153"/>
      <c r="DE46" s="22"/>
      <c r="DF46" s="22"/>
      <c r="DG46" s="22"/>
    </row>
    <row r="47" spans="1:111" ht="3" customHeight="1">
      <c r="A47" s="148"/>
      <c r="B47" s="149"/>
      <c r="C47" s="149"/>
      <c r="D47" s="149"/>
      <c r="E47" s="159"/>
      <c r="F47" s="169"/>
      <c r="G47" s="161"/>
      <c r="H47" s="161"/>
      <c r="I47" s="161"/>
      <c r="J47" s="161"/>
      <c r="K47" s="266"/>
      <c r="L47" s="266"/>
      <c r="M47" s="266"/>
      <c r="N47" s="266"/>
      <c r="O47" s="266"/>
      <c r="P47" s="266"/>
      <c r="Q47" s="161"/>
      <c r="R47" s="161"/>
      <c r="S47" s="161"/>
      <c r="T47" s="161"/>
      <c r="U47" s="161"/>
      <c r="V47" s="161"/>
      <c r="W47" s="161"/>
      <c r="X47" s="161"/>
      <c r="Y47" s="161"/>
      <c r="Z47" s="161"/>
      <c r="AA47" s="161"/>
      <c r="AB47" s="165"/>
      <c r="AC47" s="166"/>
      <c r="AD47" s="166"/>
      <c r="AE47" s="166"/>
      <c r="AF47" s="166"/>
      <c r="AG47" s="166"/>
      <c r="AH47" s="166"/>
      <c r="AI47" s="166"/>
      <c r="AJ47" s="166"/>
      <c r="AK47" s="166"/>
      <c r="AL47" s="166"/>
      <c r="AM47" s="166"/>
      <c r="AN47" s="166"/>
      <c r="AO47" s="166"/>
      <c r="AP47" s="266"/>
      <c r="AQ47" s="266"/>
      <c r="AR47" s="266"/>
      <c r="AS47" s="266"/>
      <c r="AT47" s="266"/>
      <c r="AU47" s="266"/>
      <c r="AV47" s="171"/>
      <c r="AW47" s="171"/>
      <c r="AX47" s="171"/>
      <c r="AY47" s="171"/>
      <c r="AZ47" s="171"/>
      <c r="BA47" s="171"/>
      <c r="BB47" s="171"/>
      <c r="BC47" s="171"/>
      <c r="BD47" s="171"/>
      <c r="BE47" s="171"/>
      <c r="BF47" s="171"/>
      <c r="BG47" s="171"/>
      <c r="BH47" s="169"/>
      <c r="BI47" s="266"/>
      <c r="BJ47" s="266"/>
      <c r="BK47" s="266"/>
      <c r="BL47" s="266"/>
      <c r="BM47" s="266"/>
      <c r="BN47" s="266"/>
      <c r="BO47" s="161"/>
      <c r="BP47" s="161"/>
      <c r="BQ47" s="161"/>
      <c r="BR47" s="161"/>
      <c r="BS47" s="161"/>
      <c r="BT47" s="161"/>
      <c r="BU47" s="161"/>
      <c r="BV47" s="161"/>
      <c r="BW47" s="169"/>
      <c r="BX47" s="161"/>
      <c r="BY47" s="166"/>
      <c r="BZ47" s="166"/>
      <c r="CA47" s="166"/>
      <c r="CB47" s="166"/>
      <c r="CC47" s="166"/>
      <c r="CD47" s="166"/>
      <c r="CE47" s="166"/>
      <c r="CF47" s="166"/>
      <c r="CG47" s="166"/>
      <c r="CH47" s="166"/>
      <c r="CI47" s="166"/>
      <c r="CJ47" s="166"/>
      <c r="CK47" s="166"/>
      <c r="CL47" s="166"/>
      <c r="CM47" s="166"/>
      <c r="CN47" s="166"/>
      <c r="CO47" s="166"/>
      <c r="CP47" s="166"/>
      <c r="CQ47" s="170"/>
      <c r="CR47" s="170"/>
      <c r="CS47" s="170"/>
      <c r="CT47" s="170"/>
      <c r="CU47" s="170"/>
      <c r="CV47" s="170"/>
      <c r="CW47" s="170"/>
      <c r="CX47" s="170"/>
      <c r="CY47" s="170"/>
      <c r="CZ47" s="169"/>
      <c r="DA47" s="169"/>
      <c r="DB47" s="169"/>
      <c r="DC47" s="164"/>
      <c r="DD47" s="153"/>
      <c r="DE47" s="22"/>
      <c r="DF47" s="22"/>
      <c r="DG47" s="22"/>
    </row>
    <row r="48" spans="1:111" ht="3" customHeight="1" thickBot="1">
      <c r="A48" s="115"/>
      <c r="B48" s="120"/>
      <c r="C48" s="74"/>
      <c r="D48" s="78"/>
      <c r="E48" s="85"/>
      <c r="F48" s="132"/>
      <c r="G48" s="133"/>
      <c r="H48" s="133"/>
      <c r="I48" s="133"/>
      <c r="J48" s="133"/>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33"/>
      <c r="BI48" s="134"/>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83"/>
      <c r="CZ48" s="83"/>
      <c r="DA48" s="83"/>
      <c r="DB48" s="83"/>
      <c r="DC48" s="86"/>
      <c r="DD48" s="117"/>
      <c r="DE48" s="94"/>
      <c r="DF48" s="94"/>
      <c r="DG48" s="94"/>
    </row>
    <row r="49" spans="1:111" ht="3.75" customHeight="1" thickTop="1">
      <c r="A49" s="115"/>
      <c r="B49" s="109"/>
      <c r="C49" s="110"/>
      <c r="D49" s="111"/>
      <c r="E49" s="135"/>
      <c r="F49" s="136"/>
      <c r="G49" s="137"/>
      <c r="H49" s="137"/>
      <c r="I49" s="137"/>
      <c r="J49" s="137"/>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7"/>
      <c r="BI49" s="137"/>
      <c r="BJ49" s="137"/>
      <c r="BK49" s="139"/>
      <c r="BL49" s="137"/>
      <c r="BM49" s="137"/>
      <c r="BN49" s="137"/>
      <c r="BO49" s="137"/>
      <c r="BP49" s="139"/>
      <c r="BQ49" s="137"/>
      <c r="BR49" s="137"/>
      <c r="BS49" s="137"/>
      <c r="BT49" s="137"/>
      <c r="BU49" s="140"/>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37"/>
      <c r="CR49" s="137"/>
      <c r="CS49" s="137"/>
      <c r="CT49" s="136"/>
      <c r="CU49" s="136"/>
      <c r="CV49" s="136"/>
      <c r="CW49" s="139"/>
      <c r="CX49" s="139"/>
      <c r="CY49" s="142"/>
      <c r="CZ49" s="143"/>
      <c r="DA49" s="142"/>
      <c r="DB49" s="142"/>
      <c r="DC49" s="144"/>
      <c r="DD49" s="118"/>
      <c r="DE49" s="71"/>
      <c r="DF49" s="71"/>
      <c r="DG49" s="71"/>
    </row>
    <row r="50" spans="1:111" ht="20.25">
      <c r="A50" s="48"/>
      <c r="B50" s="114" t="s">
        <v>114</v>
      </c>
      <c r="C50" s="99"/>
      <c r="D50" s="145"/>
      <c r="E50" s="146" t="s">
        <v>171</v>
      </c>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0"/>
      <c r="DB50" s="70"/>
      <c r="DC50" s="41"/>
      <c r="DD50" s="51"/>
      <c r="DE50" s="47"/>
      <c r="DF50" s="47"/>
      <c r="DG50" s="47"/>
    </row>
    <row r="51" spans="1:111" ht="16.5">
      <c r="A51" s="48"/>
      <c r="B51" s="70"/>
      <c r="C51" s="70"/>
      <c r="D51" s="70"/>
      <c r="E51" s="66"/>
      <c r="F51" s="71"/>
      <c r="G51" s="94" t="s">
        <v>157</v>
      </c>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4"/>
      <c r="AQ51" s="189"/>
      <c r="AR51" s="4"/>
      <c r="AS51" s="4"/>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4"/>
      <c r="CB51" s="4"/>
      <c r="CC51" s="4"/>
      <c r="CD51" s="190"/>
      <c r="CE51" s="190"/>
      <c r="CF51" s="190"/>
      <c r="CG51" s="189"/>
      <c r="CH51" s="190"/>
      <c r="CI51" s="190"/>
      <c r="CJ51" s="190"/>
      <c r="CK51" s="190"/>
      <c r="CL51" s="190"/>
      <c r="CM51" s="190"/>
      <c r="CN51" s="190"/>
      <c r="CO51" s="190"/>
      <c r="CP51" s="190"/>
      <c r="CQ51" s="190"/>
      <c r="CR51" s="190"/>
      <c r="CS51" s="190"/>
      <c r="CT51" s="190"/>
      <c r="CU51" s="190"/>
      <c r="CV51" s="190"/>
      <c r="CW51" s="190"/>
      <c r="CX51" s="190"/>
      <c r="CY51" s="190"/>
      <c r="CZ51" s="72"/>
      <c r="DA51" s="68"/>
      <c r="DB51" s="68"/>
      <c r="DC51" s="41"/>
      <c r="DD51" s="51"/>
      <c r="DE51" s="47"/>
      <c r="DF51" s="47"/>
      <c r="DG51" s="47"/>
    </row>
    <row r="52" spans="1:111" ht="16.5">
      <c r="A52" s="48"/>
      <c r="B52" s="70"/>
      <c r="C52" s="70"/>
      <c r="D52" s="70"/>
      <c r="E52" s="66"/>
      <c r="F52" s="71"/>
      <c r="G52" s="94"/>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4"/>
      <c r="AQ52" s="189"/>
      <c r="AR52" s="4"/>
      <c r="AS52" s="4"/>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4"/>
      <c r="CB52" s="4"/>
      <c r="CC52" s="4"/>
      <c r="CD52" s="190"/>
      <c r="CE52" s="190"/>
      <c r="CF52" s="190"/>
      <c r="CG52" s="189"/>
      <c r="CH52" s="190"/>
      <c r="CI52" s="190"/>
      <c r="CJ52" s="190"/>
      <c r="CK52" s="190"/>
      <c r="CL52" s="190"/>
      <c r="CM52" s="190"/>
      <c r="CN52" s="190"/>
      <c r="CO52" s="190"/>
      <c r="CP52" s="190"/>
      <c r="CQ52" s="190"/>
      <c r="CR52" s="190"/>
      <c r="CS52" s="190"/>
      <c r="CT52" s="190"/>
      <c r="CU52" s="190"/>
      <c r="CV52" s="190"/>
      <c r="CW52" s="190"/>
      <c r="CX52" s="190"/>
      <c r="CY52" s="190"/>
      <c r="CZ52" s="74"/>
      <c r="DA52" s="69"/>
      <c r="DB52" s="69"/>
      <c r="DC52" s="41"/>
      <c r="DD52" s="51"/>
      <c r="DE52" s="47"/>
      <c r="DF52" s="47"/>
      <c r="DG52" s="47"/>
    </row>
    <row r="53" spans="1:111" ht="16.5">
      <c r="A53" s="48"/>
      <c r="B53" s="70"/>
      <c r="C53" s="70"/>
      <c r="D53" s="70"/>
      <c r="E53" s="66"/>
      <c r="F53" s="71"/>
      <c r="G53" s="94"/>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4"/>
      <c r="AQ53" s="189"/>
      <c r="AR53" s="4"/>
      <c r="AS53" s="4"/>
      <c r="AT53" s="189"/>
      <c r="AU53" s="189"/>
      <c r="AV53" s="189"/>
      <c r="AW53" s="189"/>
      <c r="AX53" s="191"/>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4"/>
      <c r="CB53" s="4"/>
      <c r="CC53" s="4"/>
      <c r="CD53" s="172"/>
      <c r="CE53" s="172"/>
      <c r="CF53" s="172"/>
      <c r="CG53" s="189"/>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41"/>
      <c r="DD53" s="51"/>
      <c r="DE53" s="47"/>
      <c r="DF53" s="47"/>
      <c r="DG53" s="47"/>
    </row>
    <row r="54" spans="1:111" ht="16.5">
      <c r="A54" s="48"/>
      <c r="B54" s="70"/>
      <c r="C54" s="70"/>
      <c r="D54" s="70"/>
      <c r="E54" s="66"/>
      <c r="F54" s="71"/>
      <c r="G54" s="94"/>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4"/>
      <c r="AQ54" s="189"/>
      <c r="AR54" s="4"/>
      <c r="AS54" s="4"/>
      <c r="AT54" s="189"/>
      <c r="AU54" s="189"/>
      <c r="AV54" s="189"/>
      <c r="AW54" s="189"/>
      <c r="AX54" s="191"/>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4"/>
      <c r="CB54" s="4"/>
      <c r="CC54" s="4"/>
      <c r="CD54" s="172"/>
      <c r="CE54" s="172"/>
      <c r="CF54" s="172"/>
      <c r="CG54" s="189"/>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41"/>
      <c r="DD54" s="51"/>
      <c r="DE54" s="47"/>
      <c r="DF54" s="47"/>
      <c r="DG54" s="47"/>
    </row>
    <row r="55" spans="1:111" ht="16.5">
      <c r="A55" s="48"/>
      <c r="B55" s="70"/>
      <c r="C55" s="70"/>
      <c r="D55" s="70"/>
      <c r="E55" s="66"/>
      <c r="F55" s="71"/>
      <c r="G55" s="94"/>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4"/>
      <c r="AQ55" s="189"/>
      <c r="AR55" s="4"/>
      <c r="AS55" s="4"/>
      <c r="AT55" s="189"/>
      <c r="AU55" s="4"/>
      <c r="AV55" s="189"/>
      <c r="AW55" s="189"/>
      <c r="AX55" s="189"/>
      <c r="AY55" s="189"/>
      <c r="AZ55" s="189"/>
      <c r="BA55" s="189"/>
      <c r="BB55" s="189"/>
      <c r="BC55" s="189"/>
      <c r="BD55" s="189"/>
      <c r="BE55" s="189"/>
      <c r="BF55" s="189"/>
      <c r="BG55" s="189"/>
      <c r="BH55" s="189"/>
      <c r="BI55" s="189"/>
      <c r="BJ55" s="191"/>
      <c r="BK55" s="189"/>
      <c r="BL55" s="189"/>
      <c r="BM55" s="189"/>
      <c r="BN55" s="189"/>
      <c r="BO55" s="189"/>
      <c r="BP55" s="189"/>
      <c r="BQ55" s="189"/>
      <c r="BR55" s="189"/>
      <c r="BS55" s="189"/>
      <c r="BT55" s="189"/>
      <c r="BU55" s="189"/>
      <c r="BV55" s="189"/>
      <c r="BW55" s="189"/>
      <c r="BX55" s="189"/>
      <c r="BY55" s="189"/>
      <c r="BZ55" s="189"/>
      <c r="CA55" s="4"/>
      <c r="CB55" s="4"/>
      <c r="CC55" s="4"/>
      <c r="CD55" s="172"/>
      <c r="CE55" s="172"/>
      <c r="CF55" s="172"/>
      <c r="CG55" s="189"/>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41"/>
      <c r="DD55" s="51"/>
      <c r="DE55" s="47"/>
      <c r="DF55" s="47"/>
      <c r="DG55" s="47"/>
    </row>
    <row r="56" spans="1:111" ht="16.5">
      <c r="A56" s="48"/>
      <c r="B56" s="70"/>
      <c r="C56" s="70"/>
      <c r="D56" s="70"/>
      <c r="E56" s="66"/>
      <c r="F56" s="71"/>
      <c r="G56" s="94"/>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4"/>
      <c r="AQ56" s="189"/>
      <c r="AR56" s="4"/>
      <c r="AS56" s="4"/>
      <c r="AT56" s="189"/>
      <c r="AU56" s="4"/>
      <c r="AV56" s="189"/>
      <c r="AW56" s="189"/>
      <c r="AX56" s="189"/>
      <c r="AY56" s="189"/>
      <c r="AZ56" s="189"/>
      <c r="BA56" s="189"/>
      <c r="BB56" s="189"/>
      <c r="BC56" s="189"/>
      <c r="BD56" s="189"/>
      <c r="BE56" s="189"/>
      <c r="BF56" s="189"/>
      <c r="BG56" s="189"/>
      <c r="BH56" s="189"/>
      <c r="BI56" s="189"/>
      <c r="BJ56" s="191"/>
      <c r="BK56" s="189"/>
      <c r="BL56" s="189"/>
      <c r="BM56" s="189"/>
      <c r="BN56" s="189"/>
      <c r="BO56" s="189"/>
      <c r="BP56" s="189"/>
      <c r="BQ56" s="189"/>
      <c r="BR56" s="189"/>
      <c r="BS56" s="189"/>
      <c r="BT56" s="189"/>
      <c r="BU56" s="189"/>
      <c r="BV56" s="189"/>
      <c r="BW56" s="189"/>
      <c r="BX56" s="189"/>
      <c r="BY56" s="189"/>
      <c r="BZ56" s="189"/>
      <c r="CA56" s="4"/>
      <c r="CB56" s="4"/>
      <c r="CC56" s="4"/>
      <c r="CD56" s="172"/>
      <c r="CE56" s="172"/>
      <c r="CF56" s="172"/>
      <c r="CG56" s="189"/>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41"/>
      <c r="DD56" s="51"/>
      <c r="DE56" s="47"/>
      <c r="DF56" s="47"/>
      <c r="DG56" s="47"/>
    </row>
    <row r="57" spans="1:111" ht="16.5">
      <c r="A57" s="48"/>
      <c r="B57" s="70"/>
      <c r="C57" s="70"/>
      <c r="D57" s="70"/>
      <c r="E57" s="66"/>
      <c r="F57" s="71"/>
      <c r="G57" s="94"/>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4"/>
      <c r="AQ57" s="189"/>
      <c r="AR57" s="4"/>
      <c r="AS57" s="4"/>
      <c r="AT57" s="189"/>
      <c r="AU57" s="4"/>
      <c r="AV57" s="189"/>
      <c r="AW57" s="189"/>
      <c r="AX57" s="189"/>
      <c r="AY57" s="189"/>
      <c r="AZ57" s="189"/>
      <c r="BA57" s="189"/>
      <c r="BB57" s="189"/>
      <c r="BC57" s="189"/>
      <c r="BD57" s="189"/>
      <c r="BE57" s="189"/>
      <c r="BF57" s="189"/>
      <c r="BG57" s="189"/>
      <c r="BH57" s="189"/>
      <c r="BI57" s="189"/>
      <c r="BJ57" s="191"/>
      <c r="BK57" s="189"/>
      <c r="BL57" s="189"/>
      <c r="BM57" s="189"/>
      <c r="BN57" s="189"/>
      <c r="BO57" s="189"/>
      <c r="BP57" s="189"/>
      <c r="BQ57" s="189"/>
      <c r="BR57" s="189"/>
      <c r="BS57" s="189"/>
      <c r="BT57" s="189"/>
      <c r="BU57" s="189"/>
      <c r="BV57" s="189"/>
      <c r="BW57" s="189"/>
      <c r="BX57" s="189"/>
      <c r="BY57" s="189"/>
      <c r="BZ57" s="189"/>
      <c r="CA57" s="4"/>
      <c r="CB57" s="4"/>
      <c r="CC57" s="4"/>
      <c r="CD57" s="172"/>
      <c r="CE57" s="172"/>
      <c r="CF57" s="172"/>
      <c r="CG57" s="189"/>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41"/>
      <c r="DD57" s="51"/>
      <c r="DE57" s="47"/>
      <c r="DF57" s="47"/>
      <c r="DG57" s="47"/>
    </row>
    <row r="58" spans="1:111" ht="16.5">
      <c r="A58" s="48"/>
      <c r="B58" s="70"/>
      <c r="C58" s="70"/>
      <c r="D58" s="70"/>
      <c r="E58" s="66"/>
      <c r="F58" s="71"/>
      <c r="G58" s="94"/>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199"/>
      <c r="AQ58" s="94"/>
      <c r="AR58" s="199"/>
      <c r="AS58" s="73"/>
      <c r="AT58" s="2"/>
      <c r="AU58" s="76"/>
      <c r="AV58" s="73"/>
      <c r="AW58" s="73"/>
      <c r="AX58" s="73"/>
      <c r="AY58" s="73"/>
      <c r="AZ58" s="73"/>
      <c r="BA58" s="73"/>
      <c r="BB58" s="73"/>
      <c r="BC58" s="73"/>
      <c r="BD58" s="73"/>
      <c r="BE58" s="73"/>
      <c r="BF58" s="73"/>
      <c r="BG58" s="73"/>
      <c r="BH58" s="199"/>
      <c r="BI58" s="73"/>
      <c r="BJ58" s="73"/>
      <c r="BK58" s="73"/>
      <c r="BL58" s="73"/>
      <c r="BM58" s="73"/>
      <c r="BN58" s="73"/>
      <c r="BO58" s="73"/>
      <c r="BP58" s="73"/>
      <c r="BQ58" s="73"/>
      <c r="BR58" s="73"/>
      <c r="BS58" s="73"/>
      <c r="BT58" s="73"/>
      <c r="BU58" s="73"/>
      <c r="BV58" s="73"/>
      <c r="BW58" s="73"/>
      <c r="BX58" s="73"/>
      <c r="BY58" s="73"/>
      <c r="BZ58" s="73"/>
      <c r="CA58" s="73"/>
      <c r="CB58" s="73"/>
      <c r="CC58" s="74"/>
      <c r="CD58" s="74"/>
      <c r="CE58" s="74"/>
      <c r="CF58" s="74"/>
      <c r="CG58" s="74"/>
      <c r="CH58" s="74"/>
      <c r="CI58" s="74"/>
      <c r="CJ58" s="172"/>
      <c r="CK58" s="74"/>
      <c r="CL58" s="74"/>
      <c r="CM58" s="74"/>
      <c r="CN58" s="74"/>
      <c r="CO58" s="74"/>
      <c r="CP58" s="74"/>
      <c r="CQ58" s="172"/>
      <c r="CR58" s="172"/>
      <c r="CS58" s="172"/>
      <c r="CT58" s="172"/>
      <c r="CU58" s="172"/>
      <c r="CV58" s="172"/>
      <c r="CW58" s="172"/>
      <c r="CX58" s="172"/>
      <c r="CY58" s="172"/>
      <c r="CZ58" s="74"/>
      <c r="DA58" s="70"/>
      <c r="DB58" s="70"/>
      <c r="DC58" s="41"/>
      <c r="DD58" s="51"/>
      <c r="DE58" s="47"/>
      <c r="DF58" s="47"/>
      <c r="DG58" s="47"/>
    </row>
    <row r="59" spans="1:111" ht="2.25" customHeight="1" thickBot="1">
      <c r="A59" s="48"/>
      <c r="B59" s="70"/>
      <c r="C59" s="70"/>
      <c r="D59" s="70"/>
      <c r="E59" s="87"/>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9"/>
      <c r="DD59" s="51"/>
      <c r="DE59" s="47"/>
      <c r="DF59" s="47"/>
      <c r="DG59" s="47"/>
    </row>
    <row r="60" spans="1:111" ht="3.75" customHeight="1" thickTop="1">
      <c r="A60" s="48"/>
      <c r="B60" s="109"/>
      <c r="C60" s="110"/>
      <c r="D60" s="111"/>
      <c r="E60" s="59"/>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41"/>
      <c r="DD60" s="51"/>
      <c r="DE60" s="47"/>
      <c r="DF60" s="47"/>
      <c r="DG60" s="47"/>
    </row>
    <row r="61" spans="1:111" ht="20.25">
      <c r="A61" s="48"/>
      <c r="B61" s="114" t="s">
        <v>115</v>
      </c>
      <c r="C61" s="99"/>
      <c r="D61" s="112"/>
      <c r="E61" s="268" t="s">
        <v>138</v>
      </c>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70"/>
      <c r="DD61" s="51"/>
      <c r="DE61" s="47"/>
      <c r="DF61" s="47"/>
      <c r="DG61" s="47"/>
    </row>
    <row r="62" spans="1:111" ht="15" customHeight="1">
      <c r="A62" s="48"/>
      <c r="B62" s="70"/>
      <c r="C62" s="70"/>
      <c r="D62" s="70"/>
      <c r="E62" s="196"/>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197"/>
      <c r="DD62" s="51"/>
      <c r="DE62" s="47"/>
      <c r="DF62" s="47"/>
      <c r="DG62" s="47"/>
    </row>
    <row r="63" spans="1:111" ht="21" customHeight="1">
      <c r="A63" s="48"/>
      <c r="B63" s="70"/>
      <c r="C63" s="70"/>
      <c r="D63" s="70"/>
      <c r="E63" s="196"/>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4"/>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197"/>
      <c r="DD63" s="51"/>
      <c r="DE63" s="47"/>
      <c r="DF63" s="47"/>
      <c r="DG63" s="47"/>
    </row>
    <row r="64" spans="1:111" ht="15.75" customHeight="1">
      <c r="A64" s="48"/>
      <c r="B64" s="70"/>
      <c r="C64" s="70"/>
      <c r="D64" s="70"/>
      <c r="E64" s="196"/>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197"/>
      <c r="DD64" s="103"/>
      <c r="DE64" s="100"/>
      <c r="DF64" s="47"/>
      <c r="DG64" s="47"/>
    </row>
    <row r="65" spans="1:111" ht="21" customHeight="1">
      <c r="A65" s="48"/>
      <c r="B65" s="70"/>
      <c r="C65" s="70"/>
      <c r="D65" s="70"/>
      <c r="E65" s="196"/>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197"/>
      <c r="DD65" s="51"/>
      <c r="DE65" s="47"/>
      <c r="DF65" s="47"/>
      <c r="DG65" s="47"/>
    </row>
    <row r="66" spans="1:111" ht="2.25" customHeight="1">
      <c r="A66" s="48"/>
      <c r="B66" s="70"/>
      <c r="C66" s="70"/>
      <c r="D66" s="70"/>
      <c r="E66" s="196"/>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197"/>
      <c r="DD66" s="51"/>
      <c r="DE66" s="47"/>
      <c r="DF66" s="47"/>
      <c r="DG66" s="47"/>
    </row>
    <row r="67" spans="1:111" ht="21" customHeight="1">
      <c r="A67" s="48"/>
      <c r="B67" s="70"/>
      <c r="C67" s="70"/>
      <c r="D67" s="70"/>
      <c r="E67" s="196"/>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197"/>
      <c r="DD67" s="51"/>
      <c r="DE67" s="47"/>
      <c r="DF67" s="47"/>
      <c r="DG67" s="47"/>
    </row>
    <row r="68" spans="1:111" ht="15" customHeight="1">
      <c r="A68" s="48"/>
      <c r="B68" s="70"/>
      <c r="C68" s="70"/>
      <c r="D68" s="70"/>
      <c r="E68" s="196"/>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197"/>
      <c r="DD68" s="51"/>
      <c r="DE68" s="47"/>
      <c r="DF68" s="47"/>
      <c r="DG68" s="47"/>
    </row>
    <row r="69" spans="1:111" ht="21" customHeight="1">
      <c r="A69" s="48"/>
      <c r="B69" s="70"/>
      <c r="C69" s="70"/>
      <c r="D69" s="70"/>
      <c r="E69" s="196"/>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197"/>
      <c r="DD69" s="51"/>
      <c r="DE69" s="47"/>
      <c r="DF69" s="47"/>
      <c r="DG69" s="47"/>
    </row>
    <row r="70" spans="1:111" ht="15" customHeight="1">
      <c r="A70" s="48"/>
      <c r="B70" s="70"/>
      <c r="C70" s="70"/>
      <c r="D70" s="70"/>
      <c r="E70" s="196"/>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197"/>
      <c r="DD70" s="51"/>
      <c r="DE70" s="47"/>
      <c r="DF70" s="47"/>
      <c r="DG70" s="47"/>
    </row>
    <row r="71" spans="1:111" ht="21" customHeight="1">
      <c r="A71" s="48"/>
      <c r="B71" s="70"/>
      <c r="C71" s="70"/>
      <c r="D71" s="70"/>
      <c r="E71" s="196"/>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197"/>
      <c r="DD71" s="51"/>
      <c r="DE71" s="47"/>
      <c r="DF71" s="47"/>
      <c r="DG71" s="47"/>
    </row>
    <row r="72" spans="1:111" ht="14.25" customHeight="1">
      <c r="A72" s="48"/>
      <c r="B72" s="70"/>
      <c r="C72" s="70"/>
      <c r="D72" s="70"/>
      <c r="E72" s="196"/>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197"/>
      <c r="DD72" s="51"/>
      <c r="DE72" s="47"/>
      <c r="DF72" s="47"/>
      <c r="DG72" s="47"/>
    </row>
    <row r="73" spans="1:111" ht="5.25" customHeight="1">
      <c r="A73" s="48"/>
      <c r="B73" s="70"/>
      <c r="C73" s="70"/>
      <c r="D73" s="70"/>
      <c r="E73" s="53"/>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5"/>
      <c r="DD73" s="51"/>
      <c r="DE73" s="47"/>
      <c r="DF73" s="47"/>
      <c r="DG73" s="47"/>
    </row>
    <row r="74" spans="1:111" ht="10.5" customHeight="1" thickBot="1">
      <c r="A74" s="60"/>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2"/>
      <c r="DE74" s="47"/>
      <c r="DF74" s="47"/>
      <c r="DG74" s="47"/>
    </row>
    <row r="75" spans="1:111"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3"/>
      <c r="CR75" s="47"/>
      <c r="CS75" s="47"/>
      <c r="CT75" s="47"/>
      <c r="CU75" s="47"/>
      <c r="CV75" s="47"/>
      <c r="CW75" s="47"/>
      <c r="CX75" s="47"/>
      <c r="CY75" s="47"/>
      <c r="CZ75" s="47"/>
      <c r="DA75" s="47"/>
      <c r="DB75" s="47"/>
      <c r="DC75" s="113" t="s">
        <v>162</v>
      </c>
      <c r="DD75" s="47"/>
      <c r="DE75" s="47"/>
      <c r="DF75" s="47"/>
      <c r="DG75" s="47"/>
    </row>
    <row r="76" spans="1:111" ht="15.75">
      <c r="A76" s="101"/>
      <c r="B76" s="101"/>
      <c r="C76" s="101"/>
      <c r="D76" s="101"/>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93"/>
      <c r="DF76" s="93"/>
      <c r="DG76" s="93"/>
    </row>
  </sheetData>
  <sheetProtection/>
  <mergeCells count="86">
    <mergeCell ref="BS39:CC39"/>
    <mergeCell ref="BS41:CC41"/>
    <mergeCell ref="AL44:AV44"/>
    <mergeCell ref="CX34:CZ34"/>
    <mergeCell ref="BH33:CC33"/>
    <mergeCell ref="AZ30:BG30"/>
    <mergeCell ref="BI30:BS30"/>
    <mergeCell ref="CS30:DB30"/>
    <mergeCell ref="CI30:CR30"/>
    <mergeCell ref="CI31:CR31"/>
    <mergeCell ref="F35:AK35"/>
    <mergeCell ref="F33:AK33"/>
    <mergeCell ref="F34:AK34"/>
    <mergeCell ref="AL34:BG34"/>
    <mergeCell ref="AL33:BG33"/>
    <mergeCell ref="AL39:AV39"/>
    <mergeCell ref="F17:AE17"/>
    <mergeCell ref="CW17:DA17"/>
    <mergeCell ref="CH17:CK17"/>
    <mergeCell ref="CS31:DB31"/>
    <mergeCell ref="CN28:CY28"/>
    <mergeCell ref="AF28:CA28"/>
    <mergeCell ref="BI29:BS29"/>
    <mergeCell ref="AZ31:BG31"/>
    <mergeCell ref="AZ29:BG29"/>
    <mergeCell ref="AK17:AS17"/>
    <mergeCell ref="BI47:BN47"/>
    <mergeCell ref="BH36:CC36"/>
    <mergeCell ref="F46:AK46"/>
    <mergeCell ref="F45:AK45"/>
    <mergeCell ref="AW45:BG45"/>
    <mergeCell ref="AW46:BG46"/>
    <mergeCell ref="AW40:BG40"/>
    <mergeCell ref="BH40:BR40"/>
    <mergeCell ref="AW39:BG39"/>
    <mergeCell ref="BH39:BR39"/>
    <mergeCell ref="AW44:BG44"/>
    <mergeCell ref="AL43:CC43"/>
    <mergeCell ref="BH44:BR44"/>
    <mergeCell ref="E5:P5"/>
    <mergeCell ref="F8:AY8"/>
    <mergeCell ref="F11:AY11"/>
    <mergeCell ref="F14:AY14"/>
    <mergeCell ref="G20:K20"/>
    <mergeCell ref="F38:AK39"/>
    <mergeCell ref="AL38:CC38"/>
    <mergeCell ref="BF17:CF17"/>
    <mergeCell ref="CF35:CZ36"/>
    <mergeCell ref="F41:AK41"/>
    <mergeCell ref="AL41:AV41"/>
    <mergeCell ref="AW41:BG41"/>
    <mergeCell ref="BH41:BR41"/>
    <mergeCell ref="F40:AK40"/>
    <mergeCell ref="AJ20:AN20"/>
    <mergeCell ref="M20:AF20"/>
    <mergeCell ref="AP20:BJ20"/>
    <mergeCell ref="BS40:CC40"/>
    <mergeCell ref="BH34:CC34"/>
    <mergeCell ref="AU17:AY17"/>
    <mergeCell ref="BF8:DA8"/>
    <mergeCell ref="BF11:DA11"/>
    <mergeCell ref="BF14:DA14"/>
    <mergeCell ref="AL35:BG35"/>
    <mergeCell ref="BH35:CC35"/>
    <mergeCell ref="CM17:CU17"/>
    <mergeCell ref="BM20:DA20"/>
    <mergeCell ref="BH46:BR46"/>
    <mergeCell ref="AL45:AV45"/>
    <mergeCell ref="AP47:AU47"/>
    <mergeCell ref="BS44:CC44"/>
    <mergeCell ref="BI31:BS31"/>
    <mergeCell ref="F43:AK44"/>
    <mergeCell ref="AL36:BG36"/>
    <mergeCell ref="K47:P47"/>
    <mergeCell ref="AL40:AV40"/>
    <mergeCell ref="F36:AK36"/>
    <mergeCell ref="AL5:AX5"/>
    <mergeCell ref="BW5:CI5"/>
    <mergeCell ref="E61:DC61"/>
    <mergeCell ref="CE33:DB33"/>
    <mergeCell ref="F62:DB72"/>
    <mergeCell ref="AO25:BK25"/>
    <mergeCell ref="AL46:AV46"/>
    <mergeCell ref="BH45:BR45"/>
    <mergeCell ref="BS45:CC45"/>
    <mergeCell ref="BS46:CC46"/>
  </mergeCells>
  <printOptions/>
  <pageMargins left="0.7" right="0.7" top="0.75" bottom="0.75" header="0.3" footer="0.3"/>
  <pageSetup fitToHeight="1" fitToWidth="1" horizontalDpi="1200" verticalDpi="1200" orientation="portrait" scale="62" r:id="rId1"/>
</worksheet>
</file>

<file path=xl/worksheets/sheet3.xml><?xml version="1.0" encoding="utf-8"?>
<worksheet xmlns="http://schemas.openxmlformats.org/spreadsheetml/2006/main" xmlns:r="http://schemas.openxmlformats.org/officeDocument/2006/relationships">
  <dimension ref="A1:K58"/>
  <sheetViews>
    <sheetView zoomScalePageLayoutView="0" workbookViewId="0" topLeftCell="A1">
      <selection activeCell="K16" sqref="K16"/>
    </sheetView>
  </sheetViews>
  <sheetFormatPr defaultColWidth="9.140625" defaultRowHeight="15"/>
  <cols>
    <col min="5" max="5" width="12.7109375" style="0" bestFit="1" customWidth="1"/>
    <col min="7" max="7" width="11.421875" style="0" customWidth="1"/>
    <col min="11" max="11" width="68.8515625" style="0" customWidth="1"/>
  </cols>
  <sheetData>
    <row r="1" spans="1:9" ht="18.75">
      <c r="A1" s="317" t="s">
        <v>0</v>
      </c>
      <c r="B1" s="317"/>
      <c r="C1" s="317"/>
      <c r="D1" s="317"/>
      <c r="E1" s="317"/>
      <c r="F1" s="317"/>
      <c r="G1" s="317"/>
      <c r="H1" s="317"/>
      <c r="I1" s="317"/>
    </row>
    <row r="2" spans="1:9" ht="15.75">
      <c r="A2" s="318"/>
      <c r="B2" s="319"/>
      <c r="C2" s="319"/>
      <c r="D2" s="319"/>
      <c r="E2" s="320"/>
      <c r="F2" s="317" t="s">
        <v>1</v>
      </c>
      <c r="G2" s="317"/>
      <c r="H2" s="317" t="s">
        <v>2</v>
      </c>
      <c r="I2" s="317"/>
    </row>
    <row r="3" spans="1:9" ht="18.75">
      <c r="A3" s="321"/>
      <c r="B3" s="322"/>
      <c r="C3" s="322"/>
      <c r="D3" s="322"/>
      <c r="E3" s="323"/>
      <c r="F3" s="12" t="s">
        <v>3</v>
      </c>
      <c r="G3" s="12" t="s">
        <v>4</v>
      </c>
      <c r="H3" s="12" t="s">
        <v>3</v>
      </c>
      <c r="I3" s="12" t="s">
        <v>4</v>
      </c>
    </row>
    <row r="4" spans="1:9" ht="15.75">
      <c r="A4" s="324" t="s">
        <v>5</v>
      </c>
      <c r="B4" s="324"/>
      <c r="C4" s="324"/>
      <c r="D4" s="324"/>
      <c r="E4" s="12" t="s">
        <v>6</v>
      </c>
      <c r="F4" s="12" t="s">
        <v>7</v>
      </c>
      <c r="G4" s="12" t="s">
        <v>7</v>
      </c>
      <c r="H4" s="12" t="s">
        <v>7</v>
      </c>
      <c r="I4" s="12" t="s">
        <v>7</v>
      </c>
    </row>
    <row r="5" spans="1:9" ht="15.75">
      <c r="A5" s="313" t="s">
        <v>8</v>
      </c>
      <c r="B5" s="313"/>
      <c r="C5" s="313"/>
      <c r="D5" s="313"/>
      <c r="E5" s="13" t="s">
        <v>9</v>
      </c>
      <c r="F5" s="14">
        <v>0.0064</v>
      </c>
      <c r="G5" s="14">
        <v>0.0031</v>
      </c>
      <c r="H5" s="14">
        <v>0.0064</v>
      </c>
      <c r="I5" s="14">
        <v>0.0031</v>
      </c>
    </row>
    <row r="6" spans="1:9" ht="15.75">
      <c r="A6" s="313" t="s">
        <v>10</v>
      </c>
      <c r="B6" s="313"/>
      <c r="C6" s="313"/>
      <c r="D6" s="313"/>
      <c r="E6" s="13" t="s">
        <v>11</v>
      </c>
      <c r="F6" s="14">
        <v>0.0015</v>
      </c>
      <c r="G6" s="14">
        <v>0.0007</v>
      </c>
      <c r="H6" s="14">
        <v>0.0015</v>
      </c>
      <c r="I6" s="14">
        <v>0.0007</v>
      </c>
    </row>
    <row r="7" spans="1:9" ht="15.75">
      <c r="A7" s="313" t="s">
        <v>12</v>
      </c>
      <c r="B7" s="313"/>
      <c r="C7" s="313"/>
      <c r="D7" s="313"/>
      <c r="E7" s="13" t="s">
        <v>13</v>
      </c>
      <c r="F7" s="14">
        <v>0.0064</v>
      </c>
      <c r="G7" s="14">
        <v>0.0031</v>
      </c>
      <c r="H7" s="14">
        <v>0.0064</v>
      </c>
      <c r="I7" s="14">
        <v>0.0031</v>
      </c>
    </row>
    <row r="8" spans="1:9" ht="15.75">
      <c r="A8" s="313" t="s">
        <v>14</v>
      </c>
      <c r="B8" s="313"/>
      <c r="C8" s="313"/>
      <c r="D8" s="313"/>
      <c r="E8" s="13" t="s">
        <v>15</v>
      </c>
      <c r="F8" s="14">
        <v>0.0015</v>
      </c>
      <c r="G8" s="14">
        <v>0.0007</v>
      </c>
      <c r="H8" s="14">
        <v>0.0015</v>
      </c>
      <c r="I8" s="14">
        <v>0.0007</v>
      </c>
    </row>
    <row r="9" spans="1:9" ht="15.75">
      <c r="A9" s="313" t="s">
        <v>16</v>
      </c>
      <c r="B9" s="313"/>
      <c r="C9" s="313"/>
      <c r="D9" s="313"/>
      <c r="E9" s="13" t="s">
        <v>17</v>
      </c>
      <c r="F9" s="14">
        <v>0.0064</v>
      </c>
      <c r="G9" s="14">
        <v>0.0031</v>
      </c>
      <c r="H9" s="14">
        <v>0.0064</v>
      </c>
      <c r="I9" s="14">
        <v>0.0031</v>
      </c>
    </row>
    <row r="10" spans="1:9" ht="15.75">
      <c r="A10" s="313" t="s">
        <v>18</v>
      </c>
      <c r="B10" s="313"/>
      <c r="C10" s="313"/>
      <c r="D10" s="313"/>
      <c r="E10" s="13" t="s">
        <v>19</v>
      </c>
      <c r="F10" s="14">
        <v>0.0015</v>
      </c>
      <c r="G10" s="14">
        <v>0.0007</v>
      </c>
      <c r="H10" s="14">
        <v>0.0015</v>
      </c>
      <c r="I10" s="14">
        <v>0.0007</v>
      </c>
    </row>
    <row r="11" spans="1:9" ht="15.75">
      <c r="A11" s="313" t="s">
        <v>20</v>
      </c>
      <c r="B11" s="313"/>
      <c r="C11" s="313"/>
      <c r="D11" s="313"/>
      <c r="E11" s="13" t="s">
        <v>21</v>
      </c>
      <c r="F11" s="14">
        <v>0.0002</v>
      </c>
      <c r="G11" s="14">
        <v>0.0001</v>
      </c>
      <c r="H11" s="14">
        <v>0.0002</v>
      </c>
      <c r="I11" s="14">
        <v>0.0001</v>
      </c>
    </row>
    <row r="12" spans="1:9" ht="15.75">
      <c r="A12" s="313" t="s">
        <v>22</v>
      </c>
      <c r="B12" s="313"/>
      <c r="C12" s="313"/>
      <c r="D12" s="313"/>
      <c r="E12" s="13" t="s">
        <v>23</v>
      </c>
      <c r="F12" s="14">
        <v>0.0003</v>
      </c>
      <c r="G12" s="14">
        <v>0.0002</v>
      </c>
      <c r="H12" s="14">
        <v>0.0003</v>
      </c>
      <c r="I12" s="14">
        <v>0.0002</v>
      </c>
    </row>
    <row r="13" spans="1:9" ht="15.75">
      <c r="A13" s="313" t="s">
        <v>24</v>
      </c>
      <c r="B13" s="313"/>
      <c r="C13" s="313"/>
      <c r="D13" s="313"/>
      <c r="E13" s="13" t="s">
        <v>25</v>
      </c>
      <c r="F13" s="14">
        <v>0.0079</v>
      </c>
      <c r="G13" s="14">
        <v>0.0038</v>
      </c>
      <c r="H13" s="14">
        <v>0.0079</v>
      </c>
      <c r="I13" s="14">
        <v>0.0038</v>
      </c>
    </row>
    <row r="14" spans="1:9" ht="15.75">
      <c r="A14" s="313" t="s">
        <v>26</v>
      </c>
      <c r="B14" s="313"/>
      <c r="C14" s="313"/>
      <c r="D14" s="313"/>
      <c r="E14" s="13" t="s">
        <v>27</v>
      </c>
      <c r="F14" s="14">
        <f>1.118*1/2000*564</f>
        <v>0.315276</v>
      </c>
      <c r="G14" s="14">
        <f>0.31*1/2000*564</f>
        <v>0.08742</v>
      </c>
      <c r="H14" s="14">
        <f>0.098*1/2000*564</f>
        <v>0.027636000000000004</v>
      </c>
      <c r="I14" s="14">
        <f>0.0263*1/2000*564</f>
        <v>0.0074166</v>
      </c>
    </row>
    <row r="15" spans="1:9" ht="15.75">
      <c r="A15" s="313" t="s">
        <v>28</v>
      </c>
      <c r="B15" s="313"/>
      <c r="C15" s="313"/>
      <c r="D15" s="313"/>
      <c r="E15" s="15" t="s">
        <v>29</v>
      </c>
      <c r="F15" s="16">
        <f>SUM(F5:F14)</f>
        <v>0.347376</v>
      </c>
      <c r="G15" s="16">
        <f>SUM(G5:G14)</f>
        <v>0.10292</v>
      </c>
      <c r="H15" s="16">
        <f>SUM(H5:H14)</f>
        <v>0.05973600000000001</v>
      </c>
      <c r="I15" s="16">
        <f>SUM(I5:I14)</f>
        <v>0.0229166</v>
      </c>
    </row>
    <row r="16" ht="15">
      <c r="K16" s="181"/>
    </row>
    <row r="18" spans="1:9" ht="18.75">
      <c r="A18" s="317" t="s">
        <v>30</v>
      </c>
      <c r="B18" s="317"/>
      <c r="C18" s="317"/>
      <c r="D18" s="317"/>
      <c r="E18" s="317"/>
      <c r="F18" s="317"/>
      <c r="G18" s="317"/>
      <c r="H18" s="317"/>
      <c r="I18" s="317"/>
    </row>
    <row r="19" spans="1:9" ht="15.75">
      <c r="A19" s="318"/>
      <c r="B19" s="319"/>
      <c r="C19" s="319"/>
      <c r="D19" s="319"/>
      <c r="E19" s="320"/>
      <c r="F19" s="317" t="s">
        <v>1</v>
      </c>
      <c r="G19" s="317"/>
      <c r="H19" s="317" t="s">
        <v>2</v>
      </c>
      <c r="I19" s="317"/>
    </row>
    <row r="20" spans="1:9" ht="18.75">
      <c r="A20" s="321"/>
      <c r="B20" s="322"/>
      <c r="C20" s="322"/>
      <c r="D20" s="322"/>
      <c r="E20" s="323"/>
      <c r="F20" s="12" t="s">
        <v>3</v>
      </c>
      <c r="G20" s="12" t="s">
        <v>4</v>
      </c>
      <c r="H20" s="12" t="s">
        <v>3</v>
      </c>
      <c r="I20" s="12" t="s">
        <v>4</v>
      </c>
    </row>
    <row r="21" spans="1:9" ht="15.75">
      <c r="A21" s="324" t="s">
        <v>5</v>
      </c>
      <c r="B21" s="324"/>
      <c r="C21" s="324"/>
      <c r="D21" s="324"/>
      <c r="E21" s="12" t="s">
        <v>6</v>
      </c>
      <c r="F21" s="12" t="s">
        <v>7</v>
      </c>
      <c r="G21" s="12" t="s">
        <v>7</v>
      </c>
      <c r="H21" s="12" t="s">
        <v>7</v>
      </c>
      <c r="I21" s="12" t="s">
        <v>7</v>
      </c>
    </row>
    <row r="22" spans="1:9" ht="15.75">
      <c r="A22" s="313" t="s">
        <v>8</v>
      </c>
      <c r="B22" s="313"/>
      <c r="C22" s="313"/>
      <c r="D22" s="313"/>
      <c r="E22" s="13" t="s">
        <v>9</v>
      </c>
      <c r="F22" s="14">
        <v>0.0064</v>
      </c>
      <c r="G22" s="14">
        <v>0.0031</v>
      </c>
      <c r="H22" s="14">
        <v>0.0064</v>
      </c>
      <c r="I22" s="14">
        <v>0.0031</v>
      </c>
    </row>
    <row r="23" spans="1:9" ht="15.75">
      <c r="A23" s="313" t="s">
        <v>10</v>
      </c>
      <c r="B23" s="313"/>
      <c r="C23" s="313"/>
      <c r="D23" s="313"/>
      <c r="E23" s="13" t="s">
        <v>11</v>
      </c>
      <c r="F23" s="14">
        <v>0.0015</v>
      </c>
      <c r="G23" s="14">
        <v>0.0007</v>
      </c>
      <c r="H23" s="14">
        <v>0.0015</v>
      </c>
      <c r="I23" s="14">
        <v>0.0007</v>
      </c>
    </row>
    <row r="24" spans="1:9" ht="15.75">
      <c r="A24" s="313" t="s">
        <v>12</v>
      </c>
      <c r="B24" s="313"/>
      <c r="C24" s="313"/>
      <c r="D24" s="313"/>
      <c r="E24" s="13" t="s">
        <v>13</v>
      </c>
      <c r="F24" s="14">
        <v>0.0064</v>
      </c>
      <c r="G24" s="14">
        <v>0.0031</v>
      </c>
      <c r="H24" s="14">
        <v>0.0064</v>
      </c>
      <c r="I24" s="14">
        <v>0.0031</v>
      </c>
    </row>
    <row r="25" spans="1:9" ht="15.75">
      <c r="A25" s="313" t="s">
        <v>14</v>
      </c>
      <c r="B25" s="313"/>
      <c r="C25" s="313"/>
      <c r="D25" s="313"/>
      <c r="E25" s="13" t="s">
        <v>15</v>
      </c>
      <c r="F25" s="14">
        <v>0.0015</v>
      </c>
      <c r="G25" s="14">
        <v>0.0007</v>
      </c>
      <c r="H25" s="14">
        <v>0.0015</v>
      </c>
      <c r="I25" s="14">
        <v>0.0007</v>
      </c>
    </row>
    <row r="26" spans="1:9" ht="15.75">
      <c r="A26" s="313" t="s">
        <v>16</v>
      </c>
      <c r="B26" s="313"/>
      <c r="C26" s="313"/>
      <c r="D26" s="313"/>
      <c r="E26" s="13" t="s">
        <v>17</v>
      </c>
      <c r="F26" s="14">
        <v>0.0064</v>
      </c>
      <c r="G26" s="14">
        <v>0.0031</v>
      </c>
      <c r="H26" s="14">
        <v>0.0064</v>
      </c>
      <c r="I26" s="14">
        <v>0.0031</v>
      </c>
    </row>
    <row r="27" spans="1:9" ht="15.75">
      <c r="A27" s="313" t="s">
        <v>18</v>
      </c>
      <c r="B27" s="313"/>
      <c r="C27" s="313"/>
      <c r="D27" s="313"/>
      <c r="E27" s="13" t="s">
        <v>19</v>
      </c>
      <c r="F27" s="14">
        <v>0.0015</v>
      </c>
      <c r="G27" s="14">
        <v>0.0007</v>
      </c>
      <c r="H27" s="14">
        <v>0.0015</v>
      </c>
      <c r="I27" s="14">
        <v>0.0007</v>
      </c>
    </row>
    <row r="28" spans="1:9" ht="15.75">
      <c r="A28" s="313" t="s">
        <v>20</v>
      </c>
      <c r="B28" s="313"/>
      <c r="C28" s="313"/>
      <c r="D28" s="313"/>
      <c r="E28" s="13" t="s">
        <v>21</v>
      </c>
      <c r="F28" s="14">
        <v>0.0002</v>
      </c>
      <c r="G28" s="14">
        <v>0.0001</v>
      </c>
      <c r="H28" s="14">
        <v>0.0002</v>
      </c>
      <c r="I28" s="14">
        <v>0.0001</v>
      </c>
    </row>
    <row r="29" spans="1:9" ht="15.75">
      <c r="A29" s="313" t="s">
        <v>22</v>
      </c>
      <c r="B29" s="313"/>
      <c r="C29" s="313"/>
      <c r="D29" s="313"/>
      <c r="E29" s="13" t="s">
        <v>23</v>
      </c>
      <c r="F29" s="14">
        <v>0.0003</v>
      </c>
      <c r="G29" s="14">
        <v>0.0002</v>
      </c>
      <c r="H29" s="14">
        <v>0.0003</v>
      </c>
      <c r="I29" s="14">
        <v>0.0002</v>
      </c>
    </row>
    <row r="30" spans="1:9" ht="15.75">
      <c r="A30" s="313" t="s">
        <v>24</v>
      </c>
      <c r="B30" s="313"/>
      <c r="C30" s="313"/>
      <c r="D30" s="313"/>
      <c r="E30" s="13" t="s">
        <v>25</v>
      </c>
      <c r="F30" s="14">
        <v>0.0079</v>
      </c>
      <c r="G30" s="14">
        <v>0.0038</v>
      </c>
      <c r="H30" s="14">
        <v>0.0079</v>
      </c>
      <c r="I30" s="14">
        <v>0.0038</v>
      </c>
    </row>
    <row r="31" spans="1:9" ht="15.75">
      <c r="A31" s="313" t="s">
        <v>31</v>
      </c>
      <c r="B31" s="313"/>
      <c r="C31" s="313"/>
      <c r="D31" s="313"/>
      <c r="E31" s="13" t="s">
        <v>32</v>
      </c>
      <c r="F31" s="14">
        <f>0.572*1/2000*564</f>
        <v>0.16130399999999998</v>
      </c>
      <c r="G31" s="14">
        <f>0.156*1/2000*564</f>
        <v>0.043991999999999996</v>
      </c>
      <c r="H31" s="14">
        <f>0.0184*1/2000*564</f>
        <v>0.0051888</v>
      </c>
      <c r="I31" s="14">
        <f>0.0055*1/2000*564</f>
        <v>0.0015509999999999999</v>
      </c>
    </row>
    <row r="32" spans="1:9" ht="15.75">
      <c r="A32" s="313" t="s">
        <v>28</v>
      </c>
      <c r="B32" s="313"/>
      <c r="C32" s="313"/>
      <c r="D32" s="313"/>
      <c r="E32" s="15" t="s">
        <v>29</v>
      </c>
      <c r="F32" s="16">
        <f>SUM(F22:F31)</f>
        <v>0.19340399999999996</v>
      </c>
      <c r="G32" s="16">
        <f>SUM(G22:G31)</f>
        <v>0.059491999999999996</v>
      </c>
      <c r="H32" s="16">
        <f>SUM(H22:H31)</f>
        <v>0.037288800000000004</v>
      </c>
      <c r="I32" s="16">
        <f>SUM(I22:I31)</f>
        <v>0.017050999999999997</v>
      </c>
    </row>
    <row r="33" spans="1:9" ht="15.75">
      <c r="A33" s="2"/>
      <c r="B33" s="2"/>
      <c r="C33" s="2"/>
      <c r="D33" s="2"/>
      <c r="E33" s="2"/>
      <c r="F33" s="5"/>
      <c r="G33" s="5"/>
      <c r="H33" s="5"/>
      <c r="I33" s="5"/>
    </row>
    <row r="34" spans="1:9" ht="15.75">
      <c r="A34" s="1"/>
      <c r="B34" s="4" t="s">
        <v>33</v>
      </c>
      <c r="C34" s="4"/>
      <c r="D34" s="4"/>
      <c r="E34" s="2"/>
      <c r="F34" s="2"/>
      <c r="G34" s="3"/>
      <c r="H34" s="1"/>
      <c r="I34" s="1"/>
    </row>
    <row r="35" spans="1:9" ht="15.75">
      <c r="A35" s="1"/>
      <c r="B35" s="6" t="s">
        <v>34</v>
      </c>
      <c r="C35" s="325" t="s">
        <v>35</v>
      </c>
      <c r="D35" s="325"/>
      <c r="E35" s="325"/>
      <c r="F35" s="325"/>
      <c r="G35" s="325"/>
      <c r="H35" s="325"/>
      <c r="I35" s="325"/>
    </row>
    <row r="36" spans="1:9" ht="16.5" thickBot="1">
      <c r="A36" s="2"/>
      <c r="B36" s="2"/>
      <c r="C36" s="2"/>
      <c r="D36" s="2"/>
      <c r="E36" s="2"/>
      <c r="F36" s="2"/>
      <c r="G36" s="3"/>
      <c r="H36" s="1"/>
      <c r="I36" s="1"/>
    </row>
    <row r="37" spans="1:9" ht="15.75">
      <c r="A37" s="2"/>
      <c r="B37" s="2"/>
      <c r="C37" s="2"/>
      <c r="D37" s="2"/>
      <c r="E37" s="315" t="s">
        <v>36</v>
      </c>
      <c r="F37" s="316"/>
      <c r="G37" s="8" t="s">
        <v>37</v>
      </c>
      <c r="H37" s="1"/>
      <c r="I37" s="1"/>
    </row>
    <row r="38" spans="1:9" ht="15.75">
      <c r="A38" s="2"/>
      <c r="B38" s="2"/>
      <c r="C38" s="2"/>
      <c r="D38" s="2"/>
      <c r="E38" s="311" t="s">
        <v>38</v>
      </c>
      <c r="F38" s="312"/>
      <c r="G38" s="9">
        <v>1865</v>
      </c>
      <c r="H38" s="1"/>
      <c r="I38" s="1"/>
    </row>
    <row r="39" spans="1:9" ht="15.75">
      <c r="A39" s="2"/>
      <c r="B39" s="2"/>
      <c r="C39" s="2"/>
      <c r="D39" s="2"/>
      <c r="E39" s="311" t="s">
        <v>39</v>
      </c>
      <c r="F39" s="312"/>
      <c r="G39" s="9">
        <v>1428</v>
      </c>
      <c r="H39" s="1"/>
      <c r="I39" s="1"/>
    </row>
    <row r="40" spans="1:9" ht="15.75">
      <c r="A40" s="2"/>
      <c r="B40" s="2"/>
      <c r="C40" s="2"/>
      <c r="D40" s="2"/>
      <c r="E40" s="311" t="s">
        <v>40</v>
      </c>
      <c r="F40" s="312"/>
      <c r="G40" s="9">
        <v>491</v>
      </c>
      <c r="H40" s="1"/>
      <c r="I40" s="1"/>
    </row>
    <row r="41" spans="1:9" ht="15.75">
      <c r="A41" s="2"/>
      <c r="B41" s="2"/>
      <c r="C41" s="2"/>
      <c r="D41" s="2"/>
      <c r="E41" s="311" t="s">
        <v>41</v>
      </c>
      <c r="F41" s="312"/>
      <c r="G41" s="10">
        <v>73</v>
      </c>
      <c r="H41" s="1"/>
      <c r="I41" s="1"/>
    </row>
    <row r="42" spans="1:9" ht="16.5" thickBot="1">
      <c r="A42" s="2"/>
      <c r="B42" s="2"/>
      <c r="C42" s="2"/>
      <c r="D42" s="2"/>
      <c r="E42" s="311" t="s">
        <v>42</v>
      </c>
      <c r="F42" s="312"/>
      <c r="G42" s="11">
        <v>20</v>
      </c>
      <c r="H42" s="1"/>
      <c r="I42" s="1"/>
    </row>
    <row r="43" spans="1:9" ht="17.25" thickBot="1" thickTop="1">
      <c r="A43" s="2"/>
      <c r="B43" s="2"/>
      <c r="C43" s="2"/>
      <c r="D43" s="2"/>
      <c r="E43" s="326" t="s">
        <v>43</v>
      </c>
      <c r="F43" s="327"/>
      <c r="G43" s="7">
        <v>4023.906</v>
      </c>
      <c r="H43" s="1"/>
      <c r="I43" s="1"/>
    </row>
    <row r="46" spans="1:9" ht="15">
      <c r="A46" s="17" t="s">
        <v>44</v>
      </c>
      <c r="B46" s="17"/>
      <c r="C46" s="17"/>
      <c r="D46" s="17"/>
      <c r="E46" s="17"/>
      <c r="F46" s="17"/>
      <c r="G46" s="18"/>
      <c r="H46" s="19"/>
      <c r="I46" s="19"/>
    </row>
    <row r="47" spans="1:10" ht="14.25" customHeight="1">
      <c r="A47" s="314" t="s">
        <v>116</v>
      </c>
      <c r="B47" s="314"/>
      <c r="C47" s="314"/>
      <c r="D47" s="314"/>
      <c r="E47" s="314"/>
      <c r="F47" s="314"/>
      <c r="G47" s="314"/>
      <c r="H47" s="314"/>
      <c r="I47" s="314"/>
      <c r="J47" s="314"/>
    </row>
    <row r="48" spans="1:10" ht="15">
      <c r="A48" s="314"/>
      <c r="B48" s="314"/>
      <c r="C48" s="314"/>
      <c r="D48" s="314"/>
      <c r="E48" s="314"/>
      <c r="F48" s="314"/>
      <c r="G48" s="314"/>
      <c r="H48" s="314"/>
      <c r="I48" s="314"/>
      <c r="J48" s="314"/>
    </row>
    <row r="49" spans="1:10" ht="15">
      <c r="A49" s="314"/>
      <c r="B49" s="314"/>
      <c r="C49" s="314"/>
      <c r="D49" s="314"/>
      <c r="E49" s="314"/>
      <c r="F49" s="314"/>
      <c r="G49" s="314"/>
      <c r="H49" s="314"/>
      <c r="I49" s="314"/>
      <c r="J49" s="314"/>
    </row>
    <row r="50" spans="1:10" ht="15">
      <c r="A50" s="314"/>
      <c r="B50" s="314"/>
      <c r="C50" s="314"/>
      <c r="D50" s="314"/>
      <c r="E50" s="314"/>
      <c r="F50" s="314"/>
      <c r="G50" s="314"/>
      <c r="H50" s="314"/>
      <c r="I50" s="314"/>
      <c r="J50" s="314"/>
    </row>
    <row r="58" ht="15">
      <c r="D58" t="s">
        <v>136</v>
      </c>
    </row>
  </sheetData>
  <sheetProtection/>
  <mergeCells count="41">
    <mergeCell ref="E38:F38"/>
    <mergeCell ref="C35:I35"/>
    <mergeCell ref="E43:F43"/>
    <mergeCell ref="E39:F39"/>
    <mergeCell ref="A13:D13"/>
    <mergeCell ref="A18:I18"/>
    <mergeCell ref="A27:D27"/>
    <mergeCell ref="A28:D28"/>
    <mergeCell ref="A29:D29"/>
    <mergeCell ref="A30:D30"/>
    <mergeCell ref="H19:I19"/>
    <mergeCell ref="H2:I2"/>
    <mergeCell ref="A1:I1"/>
    <mergeCell ref="A2:E3"/>
    <mergeCell ref="A21:D21"/>
    <mergeCell ref="A19:E20"/>
    <mergeCell ref="A4:D4"/>
    <mergeCell ref="A5:D5"/>
    <mergeCell ref="A8:D8"/>
    <mergeCell ref="A9:D9"/>
    <mergeCell ref="A11:D11"/>
    <mergeCell ref="A6:D6"/>
    <mergeCell ref="A10:D10"/>
    <mergeCell ref="A14:D14"/>
    <mergeCell ref="E40:F40"/>
    <mergeCell ref="E37:F37"/>
    <mergeCell ref="F2:G2"/>
    <mergeCell ref="A24:D24"/>
    <mergeCell ref="A25:D25"/>
    <mergeCell ref="A22:D22"/>
    <mergeCell ref="A31:D31"/>
    <mergeCell ref="E41:F41"/>
    <mergeCell ref="A7:D7"/>
    <mergeCell ref="A12:D12"/>
    <mergeCell ref="A32:D32"/>
    <mergeCell ref="A23:D23"/>
    <mergeCell ref="A47:J50"/>
    <mergeCell ref="A15:D15"/>
    <mergeCell ref="E42:F42"/>
    <mergeCell ref="F19:G19"/>
    <mergeCell ref="A26:D26"/>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M34"/>
  <sheetViews>
    <sheetView zoomScale="85" zoomScaleNormal="85" zoomScalePageLayoutView="0" workbookViewId="0" topLeftCell="A1">
      <selection activeCell="F6" sqref="F6"/>
    </sheetView>
  </sheetViews>
  <sheetFormatPr defaultColWidth="8.8515625" defaultRowHeight="15"/>
  <cols>
    <col min="1" max="1" width="15.00390625" style="227" customWidth="1"/>
    <col min="2" max="2" width="21.8515625" style="227" customWidth="1"/>
    <col min="3" max="3" width="14.57421875" style="227" bestFit="1" customWidth="1"/>
    <col min="4" max="4" width="10.421875" style="227" customWidth="1"/>
    <col min="5" max="5" width="9.7109375" style="227" bestFit="1" customWidth="1"/>
    <col min="6" max="6" width="11.28125" style="227" bestFit="1" customWidth="1"/>
    <col min="7" max="7" width="12.421875" style="227" bestFit="1" customWidth="1"/>
    <col min="8" max="8" width="12.421875" style="227" customWidth="1"/>
    <col min="9" max="9" width="12.421875" style="227" bestFit="1" customWidth="1"/>
    <col min="10" max="10" width="12.421875" style="227" customWidth="1"/>
    <col min="11" max="11" width="12.421875" style="227" bestFit="1" customWidth="1"/>
    <col min="12" max="12" width="8.8515625" style="227" customWidth="1"/>
    <col min="13" max="13" width="21.57421875" style="227" customWidth="1"/>
    <col min="14" max="16384" width="8.8515625" style="227" customWidth="1"/>
  </cols>
  <sheetData>
    <row r="1" spans="1:13" s="205" customFormat="1" ht="16.5" customHeight="1">
      <c r="A1" s="204" t="s">
        <v>173</v>
      </c>
      <c r="B1" s="332" t="s">
        <v>168</v>
      </c>
      <c r="C1" s="332"/>
      <c r="D1" s="332"/>
      <c r="E1" s="332"/>
      <c r="F1" s="332"/>
      <c r="G1" s="332"/>
      <c r="H1" s="332"/>
      <c r="I1" s="332"/>
      <c r="J1" s="332"/>
      <c r="K1" s="332"/>
      <c r="L1" s="332"/>
      <c r="M1" s="246" t="s">
        <v>47</v>
      </c>
    </row>
    <row r="2" spans="1:13" s="205" customFormat="1" ht="16.5" customHeight="1">
      <c r="A2" s="330">
        <f>'Concrete Batching'!E5</f>
        <v>0</v>
      </c>
      <c r="B2" s="237"/>
      <c r="C2" s="238"/>
      <c r="D2" s="238"/>
      <c r="E2" s="335" t="s">
        <v>49</v>
      </c>
      <c r="F2" s="335"/>
      <c r="G2" s="335"/>
      <c r="H2" s="335"/>
      <c r="I2" s="238"/>
      <c r="J2" s="238"/>
      <c r="K2" s="238"/>
      <c r="L2" s="239"/>
      <c r="M2" s="328" t="s">
        <v>174</v>
      </c>
    </row>
    <row r="3" spans="1:13" s="205" customFormat="1" ht="18.75" customHeight="1">
      <c r="A3" s="331"/>
      <c r="B3" s="240"/>
      <c r="C3" s="241"/>
      <c r="D3" s="243" t="s">
        <v>175</v>
      </c>
      <c r="E3" s="244"/>
      <c r="F3" s="245">
        <f>'Concrete Batching'!AL5</f>
        <v>0</v>
      </c>
      <c r="G3" s="243"/>
      <c r="H3" s="334" t="s">
        <v>176</v>
      </c>
      <c r="I3" s="334"/>
      <c r="J3" s="245">
        <f>'Concrete Batching'!BW5</f>
        <v>0</v>
      </c>
      <c r="K3" s="241"/>
      <c r="L3" s="242"/>
      <c r="M3" s="329"/>
    </row>
    <row r="4" spans="1:13" s="205" customFormat="1" ht="45" customHeight="1">
      <c r="A4" s="206" t="s">
        <v>130</v>
      </c>
      <c r="B4" s="206"/>
      <c r="C4" s="207" t="s">
        <v>182</v>
      </c>
      <c r="D4" s="207" t="s">
        <v>183</v>
      </c>
      <c r="E4" s="207" t="s">
        <v>184</v>
      </c>
      <c r="F4" s="208" t="s">
        <v>185</v>
      </c>
      <c r="G4" s="208" t="s">
        <v>186</v>
      </c>
      <c r="H4" s="208" t="s">
        <v>187</v>
      </c>
      <c r="I4" s="207" t="s">
        <v>188</v>
      </c>
      <c r="J4" s="208" t="s">
        <v>189</v>
      </c>
      <c r="K4" s="207" t="s">
        <v>190</v>
      </c>
      <c r="L4" s="209" t="s">
        <v>117</v>
      </c>
      <c r="M4" s="206"/>
    </row>
    <row r="5" spans="1:13" s="205" customFormat="1" ht="25.5">
      <c r="A5" s="210">
        <f>IF('Concrete Batching'!$AL$36&gt;0,'Concrete Batching'!$AL$36,'Concrete Batching'!$BH$36)</f>
        <v>0</v>
      </c>
      <c r="B5" s="211" t="s">
        <v>123</v>
      </c>
      <c r="C5" s="212">
        <f>0.00000168*0.282</f>
        <v>4.7376E-07</v>
      </c>
      <c r="D5" s="212">
        <f>0.0000000179*0.282</f>
        <v>5.0478E-09</v>
      </c>
      <c r="E5" s="212">
        <f>0.000000234*0.282</f>
        <v>6.5988E-08</v>
      </c>
      <c r="F5" s="212">
        <f>0.000000252*0.282</f>
        <v>7.1064E-08</v>
      </c>
      <c r="G5" s="212">
        <f>0.000000736*0.282</f>
        <v>2.0755199999999998E-07</v>
      </c>
      <c r="H5" s="212">
        <f>0.000202*0.282</f>
        <v>5.6964E-05</v>
      </c>
      <c r="I5" s="212">
        <f>0.0000176*0.282</f>
        <v>4.9632E-06</v>
      </c>
      <c r="J5" s="212">
        <f>0.0000118*0.282</f>
        <v>3.3275999999999997E-06</v>
      </c>
      <c r="K5" s="213" t="s">
        <v>120</v>
      </c>
      <c r="L5" s="211" t="s">
        <v>122</v>
      </c>
      <c r="M5" s="211" t="s">
        <v>153</v>
      </c>
    </row>
    <row r="6" spans="1:13" s="205" customFormat="1" ht="12.75">
      <c r="A6" s="210"/>
      <c r="B6" s="214" t="s">
        <v>129</v>
      </c>
      <c r="C6" s="215">
        <f aca="true" t="shared" si="0" ref="C6:J6">$A$5*C5</f>
        <v>0</v>
      </c>
      <c r="D6" s="215">
        <f t="shared" si="0"/>
        <v>0</v>
      </c>
      <c r="E6" s="215">
        <f t="shared" si="0"/>
        <v>0</v>
      </c>
      <c r="F6" s="215">
        <f t="shared" si="0"/>
        <v>0</v>
      </c>
      <c r="G6" s="215">
        <f t="shared" si="0"/>
        <v>0</v>
      </c>
      <c r="H6" s="215">
        <f t="shared" si="0"/>
        <v>0</v>
      </c>
      <c r="I6" s="215">
        <f t="shared" si="0"/>
        <v>0</v>
      </c>
      <c r="J6" s="215">
        <f t="shared" si="0"/>
        <v>0</v>
      </c>
      <c r="K6" s="212"/>
      <c r="L6" s="211"/>
      <c r="M6" s="204"/>
    </row>
    <row r="7" spans="1:13" s="205" customFormat="1" ht="25.5">
      <c r="A7" s="210">
        <f>IF('Concrete Batching'!$AL$36&gt;0,'Concrete Batching'!$AL$36,'Concrete Batching'!$BH$36)</f>
        <v>0</v>
      </c>
      <c r="B7" s="216" t="s">
        <v>118</v>
      </c>
      <c r="C7" s="217">
        <f>0.00000000424*0.282</f>
        <v>1.19568E-09</v>
      </c>
      <c r="D7" s="217">
        <f>0.000000000486*0.282</f>
        <v>1.3705199999999997E-10</v>
      </c>
      <c r="E7" s="217" t="s">
        <v>132</v>
      </c>
      <c r="F7" s="217">
        <f>0.000000029*0.282</f>
        <v>8.177999999999999E-09</v>
      </c>
      <c r="G7" s="217">
        <f>0.0000000109*0.282</f>
        <v>3.0738E-09</v>
      </c>
      <c r="H7" s="217">
        <f>0.000000117*0.282</f>
        <v>3.2994E-08</v>
      </c>
      <c r="I7" s="217">
        <f>0.0000000418*0.282</f>
        <v>1.1787599999999998E-08</v>
      </c>
      <c r="J7" s="217" t="s">
        <v>132</v>
      </c>
      <c r="K7" s="217" t="s">
        <v>119</v>
      </c>
      <c r="L7" s="218" t="s">
        <v>121</v>
      </c>
      <c r="M7" s="211" t="s">
        <v>153</v>
      </c>
    </row>
    <row r="8" spans="1:13" s="205" customFormat="1" ht="12.75">
      <c r="A8" s="210"/>
      <c r="B8" s="214" t="s">
        <v>129</v>
      </c>
      <c r="C8" s="219">
        <f>A7*C7</f>
        <v>0</v>
      </c>
      <c r="D8" s="219">
        <f>$A$7*D7</f>
        <v>0</v>
      </c>
      <c r="E8" s="219"/>
      <c r="F8" s="219">
        <f>$A$7*F7</f>
        <v>0</v>
      </c>
      <c r="G8" s="219">
        <f>$A$7*G7</f>
        <v>0</v>
      </c>
      <c r="H8" s="219">
        <f>$A$7*H7</f>
        <v>0</v>
      </c>
      <c r="I8" s="219">
        <f>$A$7*I7</f>
        <v>0</v>
      </c>
      <c r="J8" s="219"/>
      <c r="K8" s="220"/>
      <c r="L8" s="218"/>
      <c r="M8" s="204"/>
    </row>
    <row r="9" spans="1:13" s="205" customFormat="1" ht="38.25">
      <c r="A9" s="210"/>
      <c r="B9" s="211" t="s">
        <v>155</v>
      </c>
      <c r="C9" s="213" t="s">
        <v>119</v>
      </c>
      <c r="D9" s="213" t="s">
        <v>119</v>
      </c>
      <c r="E9" s="213" t="s">
        <v>119</v>
      </c>
      <c r="F9" s="213" t="s">
        <v>119</v>
      </c>
      <c r="G9" s="213" t="s">
        <v>119</v>
      </c>
      <c r="H9" s="213" t="s">
        <v>119</v>
      </c>
      <c r="I9" s="213" t="s">
        <v>119</v>
      </c>
      <c r="J9" s="213" t="s">
        <v>119</v>
      </c>
      <c r="K9" s="213" t="s">
        <v>119</v>
      </c>
      <c r="L9" s="218" t="s">
        <v>121</v>
      </c>
      <c r="M9" s="211" t="s">
        <v>153</v>
      </c>
    </row>
    <row r="10" spans="1:13" s="205" customFormat="1" ht="12.75">
      <c r="A10" s="210">
        <f>IF('Concrete Batching'!$AL$36&gt;0,'Concrete Batching'!$AL$36,'Concrete Batching'!$BH$36)</f>
        <v>0</v>
      </c>
      <c r="B10" s="216" t="s">
        <v>118</v>
      </c>
      <c r="C10" s="217">
        <f>0.000001*0.282</f>
        <v>2.8199999999999996E-07</v>
      </c>
      <c r="D10" s="217">
        <f>0.0000000904*0.282</f>
        <v>2.5492799999999998E-08</v>
      </c>
      <c r="E10" s="217">
        <f>0.000000000198*0.282</f>
        <v>5.583599999999999E-11</v>
      </c>
      <c r="F10" s="217">
        <f>0.00000122*0.282</f>
        <v>3.4403999999999995E-07</v>
      </c>
      <c r="G10" s="217">
        <f>0.00000052*0.282</f>
        <v>1.4664E-07</v>
      </c>
      <c r="H10" s="217">
        <f>0.000000256*0.282</f>
        <v>7.2192E-08</v>
      </c>
      <c r="I10" s="217">
        <f>0.00000228*0.282</f>
        <v>6.4296E-07</v>
      </c>
      <c r="J10" s="217">
        <f>0.00000354*0.282</f>
        <v>9.9828E-07</v>
      </c>
      <c r="K10" s="217">
        <f>0.0000000724*0.282</f>
        <v>2.04168E-08</v>
      </c>
      <c r="L10" s="218" t="s">
        <v>121</v>
      </c>
      <c r="M10" s="211" t="s">
        <v>153</v>
      </c>
    </row>
    <row r="11" spans="1:13" s="205" customFormat="1" ht="12.75">
      <c r="A11" s="210"/>
      <c r="B11" s="221" t="s">
        <v>129</v>
      </c>
      <c r="C11" s="222">
        <f aca="true" t="shared" si="1" ref="C11:I11">$A$10*C10</f>
        <v>0</v>
      </c>
      <c r="D11" s="222">
        <f t="shared" si="1"/>
        <v>0</v>
      </c>
      <c r="E11" s="222">
        <f t="shared" si="1"/>
        <v>0</v>
      </c>
      <c r="F11" s="222">
        <f t="shared" si="1"/>
        <v>0</v>
      </c>
      <c r="G11" s="222">
        <f t="shared" si="1"/>
        <v>0</v>
      </c>
      <c r="H11" s="222">
        <f t="shared" si="1"/>
        <v>0</v>
      </c>
      <c r="I11" s="222">
        <f t="shared" si="1"/>
        <v>0</v>
      </c>
      <c r="J11" s="223">
        <f>$A$10*J10*0.282</f>
        <v>0</v>
      </c>
      <c r="K11" s="222">
        <f>$A$10*K10</f>
        <v>0</v>
      </c>
      <c r="L11" s="224"/>
      <c r="M11" s="225"/>
    </row>
    <row r="12" spans="1:13" s="205" customFormat="1" ht="24.75" customHeight="1">
      <c r="A12" s="210"/>
      <c r="B12" s="226"/>
      <c r="C12" s="226"/>
      <c r="D12" s="226"/>
      <c r="E12" s="226"/>
      <c r="F12" s="226"/>
      <c r="G12" s="226"/>
      <c r="H12" s="226"/>
      <c r="I12" s="226"/>
      <c r="J12" s="226"/>
      <c r="K12" s="226"/>
      <c r="L12" s="218"/>
      <c r="M12" s="211"/>
    </row>
    <row r="13" spans="1:13" s="205" customFormat="1" ht="25.5">
      <c r="A13" s="210">
        <f>IF('Concrete Batching'!$AL$36&gt;0,'Concrete Batching'!$AL$36,'Concrete Batching'!$BH$36)</f>
        <v>0</v>
      </c>
      <c r="B13" s="209" t="s">
        <v>124</v>
      </c>
      <c r="C13" s="212">
        <f>0.00000838*0.282</f>
        <v>2.3631599999999994E-06</v>
      </c>
      <c r="D13" s="220" t="s">
        <v>125</v>
      </c>
      <c r="E13" s="212">
        <f>0.00000118*0.282</f>
        <v>3.3275999999999997E-07</v>
      </c>
      <c r="F13" s="212">
        <f>0.00000142*0.282</f>
        <v>4.0043999999999995E-07</v>
      </c>
      <c r="G13" s="212">
        <f>0.000000382*0.282</f>
        <v>1.0772399999999999E-07</v>
      </c>
      <c r="H13" s="212">
        <f>0.0000612*0.282</f>
        <v>1.7258399999999997E-05</v>
      </c>
      <c r="I13" s="212">
        <f>0.00000328*0.282</f>
        <v>9.249599999999999E-07</v>
      </c>
      <c r="J13" s="212">
        <f>0.0000202*0.282</f>
        <v>5.696399999999999E-06</v>
      </c>
      <c r="K13" s="220" t="s">
        <v>119</v>
      </c>
      <c r="L13" s="218" t="s">
        <v>121</v>
      </c>
      <c r="M13" s="211" t="s">
        <v>153</v>
      </c>
    </row>
    <row r="14" spans="1:13" s="205" customFormat="1" ht="12.75">
      <c r="A14" s="210"/>
      <c r="B14" s="214" t="s">
        <v>129</v>
      </c>
      <c r="C14" s="215">
        <f>$A$13*C13</f>
        <v>0</v>
      </c>
      <c r="D14" s="215"/>
      <c r="E14" s="215">
        <f aca="true" t="shared" si="2" ref="E14:J14">$A$13*E13</f>
        <v>0</v>
      </c>
      <c r="F14" s="215">
        <f t="shared" si="2"/>
        <v>0</v>
      </c>
      <c r="G14" s="215">
        <f t="shared" si="2"/>
        <v>0</v>
      </c>
      <c r="H14" s="215">
        <f t="shared" si="2"/>
        <v>0</v>
      </c>
      <c r="I14" s="215">
        <f t="shared" si="2"/>
        <v>0</v>
      </c>
      <c r="J14" s="215">
        <f t="shared" si="2"/>
        <v>0</v>
      </c>
      <c r="K14" s="219"/>
      <c r="L14" s="218"/>
      <c r="M14" s="211"/>
    </row>
    <row r="15" spans="1:13" s="205" customFormat="1" ht="12.75">
      <c r="A15" s="210">
        <f>IF('Concrete Batching'!$AL$36&gt;0,'Concrete Batching'!$AL$36,'Concrete Batching'!$BH$36)</f>
        <v>0</v>
      </c>
      <c r="B15" s="216" t="s">
        <v>118</v>
      </c>
      <c r="C15" s="217">
        <f>0.000000296*0.282</f>
        <v>8.3472E-08</v>
      </c>
      <c r="D15" s="220" t="s">
        <v>125</v>
      </c>
      <c r="E15" s="217">
        <f>0.00000000071*0.282</f>
        <v>2.0021999999999998E-10</v>
      </c>
      <c r="F15" s="217">
        <f>0.000000127*0.282</f>
        <v>3.5814E-08</v>
      </c>
      <c r="G15" s="217">
        <f>0.0000000366*0.282</f>
        <v>1.0321199999999998E-08</v>
      </c>
      <c r="H15" s="217">
        <f>0.00000378*0.282</f>
        <v>1.0659599999999998E-06</v>
      </c>
      <c r="I15" s="217">
        <f>0.000000248*0.282</f>
        <v>6.9936E-08</v>
      </c>
      <c r="J15" s="217">
        <f>0.0000012*0.282</f>
        <v>3.3839999999999996E-07</v>
      </c>
      <c r="K15" s="220" t="s">
        <v>119</v>
      </c>
      <c r="L15" s="218" t="s">
        <v>126</v>
      </c>
      <c r="M15" s="211" t="s">
        <v>153</v>
      </c>
    </row>
    <row r="16" spans="1:13" s="205" customFormat="1" ht="12.75">
      <c r="A16" s="210"/>
      <c r="B16" s="214" t="s">
        <v>129</v>
      </c>
      <c r="C16" s="219">
        <f>$A$15*C15</f>
        <v>0</v>
      </c>
      <c r="D16" s="219"/>
      <c r="E16" s="219">
        <f aca="true" t="shared" si="3" ref="E16:J16">$A$15*E15</f>
        <v>0</v>
      </c>
      <c r="F16" s="219">
        <f t="shared" si="3"/>
        <v>0</v>
      </c>
      <c r="G16" s="219">
        <f t="shared" si="3"/>
        <v>0</v>
      </c>
      <c r="H16" s="219">
        <f t="shared" si="3"/>
        <v>0</v>
      </c>
      <c r="I16" s="219">
        <f t="shared" si="3"/>
        <v>0</v>
      </c>
      <c r="J16" s="219">
        <f t="shared" si="3"/>
        <v>0</v>
      </c>
      <c r="K16" s="219"/>
      <c r="L16" s="218"/>
      <c r="M16" s="211"/>
    </row>
    <row r="17" spans="1:13" s="205" customFormat="1" ht="27" customHeight="1">
      <c r="A17" s="210"/>
      <c r="B17" s="227"/>
      <c r="C17" s="227"/>
      <c r="D17" s="227"/>
      <c r="E17" s="227"/>
      <c r="F17" s="227"/>
      <c r="G17" s="227"/>
      <c r="H17" s="227"/>
      <c r="I17" s="227"/>
      <c r="J17" s="227"/>
      <c r="K17" s="227"/>
      <c r="L17" s="218"/>
      <c r="M17" s="211"/>
    </row>
    <row r="18" spans="1:13" s="205" customFormat="1" ht="25.5">
      <c r="A18" s="210">
        <f>IF('Concrete Batching'!$AL$36&gt;0,'Concrete Batching'!$AL$36,'Concrete Batching'!$BH$36)</f>
        <v>0</v>
      </c>
      <c r="B18" s="209" t="s">
        <v>128</v>
      </c>
      <c r="C18" s="212">
        <f>0.0000122*0.282</f>
        <v>3.4403999999999997E-06</v>
      </c>
      <c r="D18" s="212">
        <f>0.000000244*0.282</f>
        <v>6.8808E-08</v>
      </c>
      <c r="E18" s="212">
        <f>0.0000000342*0.282</f>
        <v>9.6444E-09</v>
      </c>
      <c r="F18" s="212">
        <f>0.0000114*0.282</f>
        <v>3.2147999999999997E-06</v>
      </c>
      <c r="G18" s="212">
        <f>0.00000362*0.282</f>
        <v>1.0208399999999999E-06</v>
      </c>
      <c r="H18" s="212">
        <f>0.0000612*0.282</f>
        <v>1.7258399999999997E-05</v>
      </c>
      <c r="I18" s="212">
        <f>0.0000119*0.282</f>
        <v>3.3557999999999997E-06</v>
      </c>
      <c r="J18" s="212">
        <f>0.0000384*0.282</f>
        <v>1.0828799999999999E-05</v>
      </c>
      <c r="K18" s="212">
        <f>0.00000262*0.282</f>
        <v>7.388399999999999E-07</v>
      </c>
      <c r="L18" s="213" t="s">
        <v>121</v>
      </c>
      <c r="M18" s="211" t="s">
        <v>153</v>
      </c>
    </row>
    <row r="19" spans="1:13" s="205" customFormat="1" ht="12.75">
      <c r="A19" s="210"/>
      <c r="B19" s="214" t="s">
        <v>129</v>
      </c>
      <c r="C19" s="215">
        <f aca="true" t="shared" si="4" ref="C19:K19">$A$18*C18</f>
        <v>0</v>
      </c>
      <c r="D19" s="215">
        <f t="shared" si="4"/>
        <v>0</v>
      </c>
      <c r="E19" s="215">
        <f t="shared" si="4"/>
        <v>0</v>
      </c>
      <c r="F19" s="215">
        <f t="shared" si="4"/>
        <v>0</v>
      </c>
      <c r="G19" s="215">
        <f t="shared" si="4"/>
        <v>0</v>
      </c>
      <c r="H19" s="215">
        <f t="shared" si="4"/>
        <v>0</v>
      </c>
      <c r="I19" s="215">
        <f t="shared" si="4"/>
        <v>0</v>
      </c>
      <c r="J19" s="215">
        <f t="shared" si="4"/>
        <v>0</v>
      </c>
      <c r="K19" s="215">
        <f t="shared" si="4"/>
        <v>0</v>
      </c>
      <c r="L19" s="228"/>
      <c r="M19" s="211"/>
    </row>
    <row r="20" spans="1:13" s="205" customFormat="1" ht="12.75">
      <c r="A20" s="210">
        <f>IF('Concrete Batching'!$AL$36&gt;0,'Concrete Batching'!$AL$36,'Concrete Batching'!$BH$36)</f>
        <v>0</v>
      </c>
      <c r="B20" s="229" t="s">
        <v>127</v>
      </c>
      <c r="C20" s="212">
        <f>0.000000602*0.282</f>
        <v>1.6976399999999998E-07</v>
      </c>
      <c r="D20" s="212">
        <f>0.000000104*0.282</f>
        <v>2.9328E-08</v>
      </c>
      <c r="E20" s="217">
        <f>0.00000000906*0.282</f>
        <v>2.5549199999999997E-09</v>
      </c>
      <c r="F20" s="212">
        <f>0.0000041*0.282</f>
        <v>1.1561999999999998E-06</v>
      </c>
      <c r="G20" s="212">
        <f>0.00000153*0.282</f>
        <v>4.3146E-07</v>
      </c>
      <c r="H20" s="212">
        <f>0.0000208*0.282</f>
        <v>5.865599999999999E-06</v>
      </c>
      <c r="I20" s="212">
        <f>0.00000478*0.282</f>
        <v>1.3479599999999998E-06</v>
      </c>
      <c r="J20" s="212">
        <f>0.0000123*0.282</f>
        <v>3.4685999999999997E-06</v>
      </c>
      <c r="K20" s="212">
        <f>0.000000113*0.282</f>
        <v>3.1865999999999996E-08</v>
      </c>
      <c r="L20" s="218" t="s">
        <v>122</v>
      </c>
      <c r="M20" s="211" t="s">
        <v>153</v>
      </c>
    </row>
    <row r="21" spans="1:13" s="205" customFormat="1" ht="12.75">
      <c r="A21" s="230"/>
      <c r="B21" s="214" t="s">
        <v>129</v>
      </c>
      <c r="C21" s="231">
        <f aca="true" t="shared" si="5" ref="C21:K21">$A$20*C20</f>
        <v>0</v>
      </c>
      <c r="D21" s="231">
        <f t="shared" si="5"/>
        <v>0</v>
      </c>
      <c r="E21" s="231">
        <f t="shared" si="5"/>
        <v>0</v>
      </c>
      <c r="F21" s="231">
        <f t="shared" si="5"/>
        <v>0</v>
      </c>
      <c r="G21" s="231">
        <f t="shared" si="5"/>
        <v>0</v>
      </c>
      <c r="H21" s="231">
        <f t="shared" si="5"/>
        <v>0</v>
      </c>
      <c r="I21" s="231">
        <f t="shared" si="5"/>
        <v>0</v>
      </c>
      <c r="J21" s="231">
        <f t="shared" si="5"/>
        <v>0</v>
      </c>
      <c r="K21" s="231">
        <f t="shared" si="5"/>
        <v>0</v>
      </c>
      <c r="L21" s="232"/>
      <c r="M21" s="233"/>
    </row>
    <row r="22" spans="2:13" s="205" customFormat="1" ht="22.5" customHeight="1">
      <c r="B22" s="234" t="s">
        <v>131</v>
      </c>
      <c r="C22" s="235" t="str">
        <f>IF(AND('Concrete Batching'!$AL$46&gt;0,'Concrete Batching'!$CX$34="X"),SUM('Toxic Emissions'!C8,'Toxic Emissions'!C11,'Toxic Emissions'!C21),IF(AND('Concrete Batching'!$AL$46&gt;0,'Concrete Batching'!$CX$34=""),SUM('Toxic Emissions'!C8,'Toxic Emissions'!C11,'Toxic Emissions'!C19),IF(AND('Concrete Batching'!$BH$46&gt;0,'Concrete Batching'!$CX$34="X"),SUM('Toxic Emissions'!C8,'Toxic Emissions'!C11,'Toxic Emissions'!C16),IF(AND('Concrete Batching'!$BH$46&gt;0,'Concrete Batching'!$CX$34=""),SUM('Toxic Emissions'!C8,'Toxic Emissions'!C11,'Toxic Emissions'!C14),"No Data"))))</f>
        <v>No Data</v>
      </c>
      <c r="D22" s="235" t="str">
        <f>IF(AND('Concrete Batching'!$AL$46&gt;0,'Concrete Batching'!$CX$34="X"),SUM('Toxic Emissions'!D8,'Toxic Emissions'!D11,'Toxic Emissions'!D21),IF(AND('Concrete Batching'!$AL$46&gt;0,'Concrete Batching'!$CX$34=""),SUM('Toxic Emissions'!D8,'Toxic Emissions'!D11,'Toxic Emissions'!D19),IF(AND('Concrete Batching'!$BH$46&gt;0,'Concrete Batching'!$CX$34="X"),SUM('Toxic Emissions'!D8,'Toxic Emissions'!D11,'Toxic Emissions'!D16),IF(AND('Concrete Batching'!$BH$46&gt;0,'Concrete Batching'!$CX$34=""),SUM('Toxic Emissions'!D8,'Toxic Emissions'!D11,'Toxic Emissions'!D14),"No Data"))))</f>
        <v>No Data</v>
      </c>
      <c r="E22" s="235" t="str">
        <f>IF(AND('Concrete Batching'!$AL$46&gt;0,'Concrete Batching'!$CX$34="X"),SUM('Toxic Emissions'!E8,'Toxic Emissions'!E11,'Toxic Emissions'!E21),IF(AND('Concrete Batching'!$AL$46&gt;0,'Concrete Batching'!$CX$34=""),SUM('Toxic Emissions'!E8,'Toxic Emissions'!E11,'Toxic Emissions'!E19),IF(AND('Concrete Batching'!$BH$46&gt;0,'Concrete Batching'!$CX$34="X"),SUM('Toxic Emissions'!E8,'Toxic Emissions'!E11,'Toxic Emissions'!E16),IF(AND('Concrete Batching'!$BH$46&gt;0,'Concrete Batching'!$CX$34=""),SUM('Toxic Emissions'!E8,'Toxic Emissions'!E11,'Toxic Emissions'!E14),"No Data"))))</f>
        <v>No Data</v>
      </c>
      <c r="F22" s="235" t="str">
        <f>IF(AND('Concrete Batching'!$AL$46&gt;0,'Concrete Batching'!$CX$34="X"),SUM('Toxic Emissions'!F8,'Toxic Emissions'!F11,'Toxic Emissions'!F21),IF(AND('Concrete Batching'!$AL$46&gt;0,'Concrete Batching'!$CX$34=""),SUM('Toxic Emissions'!F8,'Toxic Emissions'!F11,'Toxic Emissions'!F19),IF(AND('Concrete Batching'!$BH$46&gt;0,'Concrete Batching'!$CX$34="X"),SUM('Toxic Emissions'!F8,'Toxic Emissions'!F11,'Toxic Emissions'!F16),IF(AND('Concrete Batching'!$BH$46&gt;0,'Concrete Batching'!$CX$34=""),SUM('Toxic Emissions'!F8,'Toxic Emissions'!F11,'Toxic Emissions'!F14),"No Data"))))</f>
        <v>No Data</v>
      </c>
      <c r="G22" s="235" t="str">
        <f>IF(AND('Concrete Batching'!$AL$46&gt;0,'Concrete Batching'!$CX$34="X"),SUM('Toxic Emissions'!G8,'Toxic Emissions'!G11,'Toxic Emissions'!G21),IF(AND('Concrete Batching'!$AL$46&gt;0,'Concrete Batching'!$CX$34=""),SUM('Toxic Emissions'!G8,'Toxic Emissions'!G11,'Toxic Emissions'!G19),IF(AND('Concrete Batching'!$BH$46&gt;0,'Concrete Batching'!$CX$34="X"),SUM('Toxic Emissions'!G8,'Toxic Emissions'!G11,'Toxic Emissions'!G16),IF(AND('Concrete Batching'!$BH$46&gt;0,'Concrete Batching'!$CX$34=""),SUM('Toxic Emissions'!G8,'Toxic Emissions'!G11,'Toxic Emissions'!G14),"No Data"))))</f>
        <v>No Data</v>
      </c>
      <c r="H22" s="235" t="str">
        <f>IF(AND('Concrete Batching'!$AL$46&gt;0,'Concrete Batching'!$CX$34="X"),SUM('Toxic Emissions'!H8,'Toxic Emissions'!H11,'Toxic Emissions'!H21),IF(AND('Concrete Batching'!$AL$46&gt;0,'Concrete Batching'!$CX$34=""),SUM('Toxic Emissions'!H8,'Toxic Emissions'!H11,'Toxic Emissions'!H19),IF(AND('Concrete Batching'!$BH$46&gt;0,'Concrete Batching'!$CX$34="X"),SUM('Toxic Emissions'!H8,'Toxic Emissions'!H11,'Toxic Emissions'!H16),IF(AND('Concrete Batching'!$BH$46&gt;0,'Concrete Batching'!$CX$34=""),SUM('Toxic Emissions'!H8,'Toxic Emissions'!H11,'Toxic Emissions'!H14),"No Data"))))</f>
        <v>No Data</v>
      </c>
      <c r="I22" s="235" t="str">
        <f>IF(AND('Concrete Batching'!$AL$46&gt;0,'Concrete Batching'!$CX$34="X"),SUM('Toxic Emissions'!I8,'Toxic Emissions'!I11,'Toxic Emissions'!I21),IF(AND('Concrete Batching'!$AL$46&gt;0,'Concrete Batching'!$CX$34=""),SUM('Toxic Emissions'!I8,'Toxic Emissions'!I11,'Toxic Emissions'!I19),IF(AND('Concrete Batching'!$BH$46&gt;0,'Concrete Batching'!$CX$34="X"),SUM('Toxic Emissions'!I8,'Toxic Emissions'!I11,'Toxic Emissions'!I16),IF(AND('Concrete Batching'!$BH$46&gt;0,'Concrete Batching'!$CX$34=""),SUM('Toxic Emissions'!I8,'Toxic Emissions'!I11,'Toxic Emissions'!I14),"No Data"))))</f>
        <v>No Data</v>
      </c>
      <c r="J22" s="235" t="str">
        <f>IF(AND('Concrete Batching'!$AL$46&gt;0,'Concrete Batching'!$CX$34="X"),SUM('Toxic Emissions'!J8,'Toxic Emissions'!J11,'Toxic Emissions'!J21),IF(AND('Concrete Batching'!$AL$46&gt;0,'Concrete Batching'!$CX$34=""),SUM('Toxic Emissions'!J8,'Toxic Emissions'!J11,'Toxic Emissions'!J19),IF(AND('Concrete Batching'!$BH$46&gt;0,'Concrete Batching'!$CX$34="X"),SUM('Toxic Emissions'!J8,'Toxic Emissions'!J11,'Toxic Emissions'!J16),IF(AND('Concrete Batching'!$BH$46&gt;0,'Concrete Batching'!$CX$34=""),SUM('Toxic Emissions'!J8,'Toxic Emissions'!J11,'Toxic Emissions'!J14),"No Data"))))</f>
        <v>No Data</v>
      </c>
      <c r="K22" s="235" t="str">
        <f>IF(AND('Concrete Batching'!$AL$46&gt;0,'Concrete Batching'!$CX$34="X"),SUM('Toxic Emissions'!K8,'Toxic Emissions'!K11,'Toxic Emissions'!K21),IF(AND('Concrete Batching'!$AL$46&gt;0,'Concrete Batching'!$CX$34=""),SUM('Toxic Emissions'!K8,'Toxic Emissions'!K11,'Toxic Emissions'!K19),IF(AND('Concrete Batching'!$BH$46&gt;0,'Concrete Batching'!$CX$34="X"),SUM('Toxic Emissions'!K8,'Toxic Emissions'!K11,'Toxic Emissions'!K16),IF(AND('Concrete Batching'!$BH$46&gt;0,'Concrete Batching'!$CX$34=""),SUM('Toxic Emissions'!K8,'Toxic Emissions'!K11,'Toxic Emissions'!K14),"No Data"))))</f>
        <v>No Data</v>
      </c>
      <c r="L22" s="236"/>
      <c r="M22" s="233"/>
    </row>
    <row r="23" s="205" customFormat="1" ht="15" customHeight="1">
      <c r="B23" s="205" t="s">
        <v>191</v>
      </c>
    </row>
    <row r="24" spans="2:13" s="205" customFormat="1" ht="16.5" customHeight="1">
      <c r="B24" s="333" t="s">
        <v>179</v>
      </c>
      <c r="C24" s="333"/>
      <c r="D24" s="333"/>
      <c r="E24" s="333"/>
      <c r="F24" s="333"/>
      <c r="G24" s="333"/>
      <c r="H24" s="333"/>
      <c r="I24" s="333"/>
      <c r="J24" s="333"/>
      <c r="K24" s="333"/>
      <c r="L24" s="333"/>
      <c r="M24" s="333"/>
    </row>
    <row r="25" spans="2:13" s="205" customFormat="1" ht="16.5" customHeight="1">
      <c r="B25" s="333"/>
      <c r="C25" s="333"/>
      <c r="D25" s="333"/>
      <c r="E25" s="333"/>
      <c r="F25" s="333"/>
      <c r="G25" s="333"/>
      <c r="H25" s="333"/>
      <c r="I25" s="333"/>
      <c r="J25" s="333"/>
      <c r="K25" s="333"/>
      <c r="L25" s="333"/>
      <c r="M25" s="333"/>
    </row>
    <row r="26" spans="2:13" s="205" customFormat="1" ht="9" customHeight="1">
      <c r="B26" s="333"/>
      <c r="C26" s="333"/>
      <c r="D26" s="333"/>
      <c r="E26" s="333"/>
      <c r="F26" s="333"/>
      <c r="G26" s="333"/>
      <c r="H26" s="333"/>
      <c r="I26" s="333"/>
      <c r="J26" s="333"/>
      <c r="K26" s="333"/>
      <c r="L26" s="333"/>
      <c r="M26" s="333"/>
    </row>
    <row r="27" spans="2:13" s="205" customFormat="1" ht="16.5" customHeight="1" hidden="1">
      <c r="B27" s="333"/>
      <c r="C27" s="333"/>
      <c r="D27" s="333"/>
      <c r="E27" s="333"/>
      <c r="F27" s="333"/>
      <c r="G27" s="333"/>
      <c r="H27" s="333"/>
      <c r="I27" s="333"/>
      <c r="J27" s="333"/>
      <c r="K27" s="333"/>
      <c r="L27" s="333"/>
      <c r="M27" s="333"/>
    </row>
    <row r="28" s="205" customFormat="1" ht="16.5" customHeight="1">
      <c r="B28" s="205" t="s">
        <v>192</v>
      </c>
    </row>
    <row r="29" s="205" customFormat="1" ht="16.5" customHeight="1">
      <c r="B29" s="205" t="s">
        <v>193</v>
      </c>
    </row>
    <row r="30" s="205" customFormat="1" ht="16.5" customHeight="1">
      <c r="B30" s="205" t="s">
        <v>194</v>
      </c>
    </row>
    <row r="31" spans="2:13" s="205" customFormat="1" ht="16.5" customHeight="1">
      <c r="B31" s="333" t="s">
        <v>180</v>
      </c>
      <c r="C31" s="333"/>
      <c r="D31" s="333"/>
      <c r="E31" s="333"/>
      <c r="F31" s="333"/>
      <c r="G31" s="333"/>
      <c r="H31" s="333"/>
      <c r="I31" s="333"/>
      <c r="J31" s="333"/>
      <c r="K31" s="333"/>
      <c r="L31" s="333"/>
      <c r="M31" s="333"/>
    </row>
    <row r="32" spans="2:13" s="205" customFormat="1" ht="16.5" customHeight="1">
      <c r="B32" s="333"/>
      <c r="C32" s="333"/>
      <c r="D32" s="333"/>
      <c r="E32" s="333"/>
      <c r="F32" s="333"/>
      <c r="G32" s="333"/>
      <c r="H32" s="333"/>
      <c r="I32" s="333"/>
      <c r="J32" s="333"/>
      <c r="K32" s="333"/>
      <c r="L32" s="333"/>
      <c r="M32" s="333"/>
    </row>
    <row r="33" spans="2:13" s="205" customFormat="1" ht="16.5" customHeight="1">
      <c r="B33" s="333" t="s">
        <v>181</v>
      </c>
      <c r="C33" s="333"/>
      <c r="D33" s="333"/>
      <c r="E33" s="333"/>
      <c r="F33" s="333"/>
      <c r="G33" s="333"/>
      <c r="H33" s="333"/>
      <c r="I33" s="333"/>
      <c r="J33" s="333"/>
      <c r="K33" s="333"/>
      <c r="L33" s="333"/>
      <c r="M33" s="333"/>
    </row>
    <row r="34" spans="2:13" s="205" customFormat="1" ht="16.5" customHeight="1">
      <c r="B34" s="333"/>
      <c r="C34" s="333"/>
      <c r="D34" s="333"/>
      <c r="E34" s="333"/>
      <c r="F34" s="333"/>
      <c r="G34" s="333"/>
      <c r="H34" s="333"/>
      <c r="I34" s="333"/>
      <c r="J34" s="333"/>
      <c r="K34" s="333"/>
      <c r="L34" s="333"/>
      <c r="M34" s="333"/>
    </row>
  </sheetData>
  <sheetProtection/>
  <mergeCells count="8">
    <mergeCell ref="M2:M3"/>
    <mergeCell ref="A2:A3"/>
    <mergeCell ref="B1:L1"/>
    <mergeCell ref="B24:M27"/>
    <mergeCell ref="B31:M32"/>
    <mergeCell ref="B33:M34"/>
    <mergeCell ref="H3:I3"/>
    <mergeCell ref="E2:H2"/>
  </mergeCells>
  <printOptions/>
  <pageMargins left="0.7" right="0.7" top="0.75" bottom="0.75" header="0.3" footer="0.3"/>
  <pageSetup fitToHeight="1" fitToWidth="1" horizontalDpi="1200" verticalDpi="1200" orientation="landscape" scale="70" r:id="rId1"/>
</worksheet>
</file>

<file path=xl/worksheets/sheet5.xml><?xml version="1.0" encoding="utf-8"?>
<worksheet xmlns="http://schemas.openxmlformats.org/spreadsheetml/2006/main" xmlns:r="http://schemas.openxmlformats.org/officeDocument/2006/relationships">
  <dimension ref="A1:O10"/>
  <sheetViews>
    <sheetView zoomScalePageLayoutView="0" workbookViewId="0" topLeftCell="A1">
      <selection activeCell="E2" sqref="E2"/>
    </sheetView>
  </sheetViews>
  <sheetFormatPr defaultColWidth="9.140625" defaultRowHeight="15"/>
  <cols>
    <col min="1" max="1" width="19.421875" style="0" bestFit="1" customWidth="1"/>
    <col min="2" max="2" width="15.28125" style="0" customWidth="1"/>
    <col min="3" max="3" width="9.28125" style="0" bestFit="1" customWidth="1"/>
    <col min="4" max="4" width="11.8515625" style="0" bestFit="1" customWidth="1"/>
    <col min="6" max="6" width="13.7109375" style="0" bestFit="1" customWidth="1"/>
  </cols>
  <sheetData>
    <row r="1" spans="1:15" ht="15.75">
      <c r="A1" s="183" t="s">
        <v>141</v>
      </c>
      <c r="B1" s="183" t="s">
        <v>142</v>
      </c>
      <c r="C1" s="183" t="s">
        <v>139</v>
      </c>
      <c r="D1" s="183" t="s">
        <v>152</v>
      </c>
      <c r="E1" s="183" t="s">
        <v>140</v>
      </c>
      <c r="F1" s="185" t="s">
        <v>143</v>
      </c>
      <c r="G1" s="186" t="s">
        <v>144</v>
      </c>
      <c r="H1" s="186" t="s">
        <v>145</v>
      </c>
      <c r="I1" s="182"/>
      <c r="J1" s="182"/>
      <c r="L1" s="182"/>
      <c r="M1" s="182"/>
      <c r="N1" s="182"/>
      <c r="O1" s="182"/>
    </row>
    <row r="2" spans="1:10" ht="15.75">
      <c r="A2" s="183" t="s">
        <v>146</v>
      </c>
      <c r="B2" s="183">
        <v>7440382</v>
      </c>
      <c r="C2" s="184" t="str">
        <f>'Toxic Emissions'!C22</f>
        <v>No Data</v>
      </c>
      <c r="D2" s="184" t="str">
        <f>IF('Concrete Batching'!$AL$35&gt;0,'Concrete Batching'!$AL$35/'HARP2 Emissions File'!F2*C2,IF('Concrete Batching'!BH35&gt;0,'Concrete Batching'!$BH$35/'HARP2 Emissions File'!F2*C2,"ISERROR"))</f>
        <v>ISERROR</v>
      </c>
      <c r="E2" s="183">
        <f>RIGHT('Concrete Batching'!$AO$25,5)</f>
      </c>
      <c r="F2" s="183">
        <f>'Toxic Emissions'!$A$5</f>
        <v>0</v>
      </c>
      <c r="G2" s="183">
        <v>1</v>
      </c>
      <c r="H2" s="183">
        <f>'Concrete Batching'!$E$5</f>
        <v>0</v>
      </c>
      <c r="J2" s="187"/>
    </row>
    <row r="3" spans="1:8" ht="15.75">
      <c r="A3" s="183" t="s">
        <v>133</v>
      </c>
      <c r="B3" s="183">
        <v>7440417</v>
      </c>
      <c r="C3" s="184" t="str">
        <f>'Toxic Emissions'!D22</f>
        <v>No Data</v>
      </c>
      <c r="D3" s="184" t="str">
        <f>IF('Concrete Batching'!$AL$35&gt;0,'Concrete Batching'!$AL$35/'HARP2 Emissions File'!F3*C3,IF('Concrete Batching'!BH36&gt;0,'Concrete Batching'!$BH$35/'HARP2 Emissions File'!F3*C3,"ISERROR"))</f>
        <v>ISERROR</v>
      </c>
      <c r="E3" s="183">
        <f>RIGHT('Concrete Batching'!$AO$25,5)</f>
      </c>
      <c r="F3" s="183">
        <f>'Toxic Emissions'!$A$5</f>
        <v>0</v>
      </c>
      <c r="G3" s="183">
        <v>1</v>
      </c>
      <c r="H3" s="183">
        <f>'Concrete Batching'!$E$5</f>
        <v>0</v>
      </c>
    </row>
    <row r="4" spans="1:8" ht="15.75">
      <c r="A4" s="183" t="s">
        <v>147</v>
      </c>
      <c r="B4" s="183">
        <v>7440439</v>
      </c>
      <c r="C4" s="184" t="str">
        <f>'Toxic Emissions'!E22</f>
        <v>No Data</v>
      </c>
      <c r="D4" s="184" t="str">
        <f>IF('Concrete Batching'!$AL$35&gt;0,'Concrete Batching'!$AL$35/'HARP2 Emissions File'!F4*C4,IF('Concrete Batching'!BH37&gt;0,'Concrete Batching'!$BH$35/'HARP2 Emissions File'!F4*C4,"ISERROR"))</f>
        <v>ISERROR</v>
      </c>
      <c r="E4" s="183">
        <f>RIGHT('Concrete Batching'!$AO$25,5)</f>
      </c>
      <c r="F4" s="183">
        <f>'Toxic Emissions'!$A$5</f>
        <v>0</v>
      </c>
      <c r="G4" s="183">
        <v>1</v>
      </c>
      <c r="H4" s="183">
        <f>'Concrete Batching'!$E$5</f>
        <v>0</v>
      </c>
    </row>
    <row r="5" spans="1:8" ht="15.75">
      <c r="A5" s="183" t="s">
        <v>148</v>
      </c>
      <c r="B5" s="183">
        <v>18540299</v>
      </c>
      <c r="C5" s="184" t="str">
        <f>'Toxic Emissions'!F22</f>
        <v>No Data</v>
      </c>
      <c r="D5" s="184" t="str">
        <f>IF('Concrete Batching'!$AL$35&gt;0,'Concrete Batching'!$AL$35/'HARP2 Emissions File'!F5*C5,IF('Concrete Batching'!BH38&gt;0,'Concrete Batching'!$BH$35/'HARP2 Emissions File'!F5*C5,"ISERROR"))</f>
        <v>ISERROR</v>
      </c>
      <c r="E5" s="183">
        <f>RIGHT('Concrete Batching'!$AO$25,5)</f>
      </c>
      <c r="F5" s="183">
        <f>'Toxic Emissions'!$A$5</f>
        <v>0</v>
      </c>
      <c r="G5" s="183">
        <v>1</v>
      </c>
      <c r="H5" s="183">
        <f>'Concrete Batching'!$E$5</f>
        <v>0</v>
      </c>
    </row>
    <row r="6" spans="1:8" ht="15.75">
      <c r="A6" s="183" t="s">
        <v>149</v>
      </c>
      <c r="B6" s="183">
        <v>7439921</v>
      </c>
      <c r="C6" s="184" t="str">
        <f>'Toxic Emissions'!G22</f>
        <v>No Data</v>
      </c>
      <c r="D6" s="184" t="e">
        <f>IF('Concrete Batching'!$AL$35&gt;0,'Concrete Batching'!$AL$35/'HARP2 Emissions File'!F6*C6,IF('Concrete Batching'!BH39&gt;0,'Concrete Batching'!$BH$35/'HARP2 Emissions File'!F6*C6,"ISERROR"))</f>
        <v>#DIV/0!</v>
      </c>
      <c r="E6" s="183">
        <f>RIGHT('Concrete Batching'!$AO$25,5)</f>
      </c>
      <c r="F6" s="183">
        <f>'Toxic Emissions'!$A$5</f>
        <v>0</v>
      </c>
      <c r="G6" s="183">
        <v>1</v>
      </c>
      <c r="H6" s="183">
        <f>'Concrete Batching'!$E$5</f>
        <v>0</v>
      </c>
    </row>
    <row r="7" spans="1:8" ht="15.75">
      <c r="A7" s="183" t="s">
        <v>150</v>
      </c>
      <c r="B7" s="183">
        <v>7439965</v>
      </c>
      <c r="C7" s="184" t="str">
        <f>'Toxic Emissions'!H22</f>
        <v>No Data</v>
      </c>
      <c r="D7" s="184" t="e">
        <f>IF('Concrete Batching'!$AL$35&gt;0,'Concrete Batching'!$AL$35/'HARP2 Emissions File'!F7*C7,IF('Concrete Batching'!BH40&gt;0,'Concrete Batching'!$BH$35/'HARP2 Emissions File'!F7*C7,"ISERROR"))</f>
        <v>#DIV/0!</v>
      </c>
      <c r="E7" s="183">
        <f>RIGHT('Concrete Batching'!$AO$25,5)</f>
      </c>
      <c r="F7" s="183">
        <f>'Toxic Emissions'!$A$5</f>
        <v>0</v>
      </c>
      <c r="G7" s="183">
        <v>1</v>
      </c>
      <c r="H7" s="183">
        <f>'Concrete Batching'!$E$5</f>
        <v>0</v>
      </c>
    </row>
    <row r="8" spans="1:8" ht="15.75">
      <c r="A8" s="183" t="s">
        <v>151</v>
      </c>
      <c r="B8" s="183">
        <v>7440020</v>
      </c>
      <c r="C8" s="184" t="str">
        <f>'Toxic Emissions'!I22</f>
        <v>No Data</v>
      </c>
      <c r="D8" s="184" t="e">
        <f>IF('Concrete Batching'!$AL$35&gt;0,'Concrete Batching'!$AL$35/'HARP2 Emissions File'!F8*C8,IF('Concrete Batching'!BH41&gt;0,'Concrete Batching'!$BH$35/'HARP2 Emissions File'!F8*C8,"ISERROR"))</f>
        <v>#DIV/0!</v>
      </c>
      <c r="E8" s="183">
        <f>RIGHT('Concrete Batching'!$AO$25,5)</f>
      </c>
      <c r="F8" s="183">
        <f>'Toxic Emissions'!$A$5</f>
        <v>0</v>
      </c>
      <c r="G8" s="183">
        <v>1</v>
      </c>
      <c r="H8" s="183">
        <f>'Concrete Batching'!$E$5</f>
        <v>0</v>
      </c>
    </row>
    <row r="9" spans="1:8" ht="15.75">
      <c r="A9" s="183" t="s">
        <v>134</v>
      </c>
      <c r="B9" s="183">
        <v>7723140</v>
      </c>
      <c r="C9" s="184" t="str">
        <f>'Toxic Emissions'!J22</f>
        <v>No Data</v>
      </c>
      <c r="D9" s="184" t="str">
        <f>IF('Concrete Batching'!$AL$35&gt;0,'Concrete Batching'!$AL$35/'HARP2 Emissions File'!F9*C9,IF('Concrete Batching'!BH42&gt;0,'Concrete Batching'!$BH$35/'HARP2 Emissions File'!F9*C9,"ISERROR"))</f>
        <v>ISERROR</v>
      </c>
      <c r="E9" s="183">
        <f>RIGHT('Concrete Batching'!$AO$25,5)</f>
      </c>
      <c r="F9" s="183">
        <f>'Toxic Emissions'!$A$5</f>
        <v>0</v>
      </c>
      <c r="G9" s="183">
        <v>1</v>
      </c>
      <c r="H9" s="183">
        <f>'Concrete Batching'!$E$5</f>
        <v>0</v>
      </c>
    </row>
    <row r="10" spans="1:8" ht="15.75">
      <c r="A10" s="183" t="s">
        <v>135</v>
      </c>
      <c r="B10" s="183">
        <v>7782492</v>
      </c>
      <c r="C10" s="184" t="str">
        <f>'Toxic Emissions'!K22</f>
        <v>No Data</v>
      </c>
      <c r="D10" s="184" t="str">
        <f>IF('Concrete Batching'!$AL$35&gt;0,'Concrete Batching'!$AL$35/'HARP2 Emissions File'!F10*C10,IF('Concrete Batching'!BH43&gt;0,'Concrete Batching'!$BH$35/'HARP2 Emissions File'!F10*C10,"ISERROR"))</f>
        <v>ISERROR</v>
      </c>
      <c r="E10" s="183">
        <f>RIGHT('Concrete Batching'!$AO$25,5)</f>
      </c>
      <c r="F10" s="183">
        <f>'Toxic Emissions'!$A$5</f>
        <v>0</v>
      </c>
      <c r="G10" s="183">
        <v>1</v>
      </c>
      <c r="H10" s="183">
        <f>'Concrete Batching'!$E$5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Anderson</dc:creator>
  <cp:keywords/>
  <dc:description/>
  <cp:lastModifiedBy>Vickie Rausch</cp:lastModifiedBy>
  <cp:lastPrinted>2016-05-24T16:38:31Z</cp:lastPrinted>
  <dcterms:created xsi:type="dcterms:W3CDTF">2016-04-19T16:23:41Z</dcterms:created>
  <dcterms:modified xsi:type="dcterms:W3CDTF">2017-07-05T20:59:38Z</dcterms:modified>
  <cp:category/>
  <cp:version/>
  <cp:contentType/>
  <cp:contentStatus/>
</cp:coreProperties>
</file>